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ctiveJobs\Ajobs 21000-21099\21062 RMS GRAL validation\99  Data pack\"/>
    </mc:Choice>
  </mc:AlternateContent>
  <bookViews>
    <workbookView xWindow="0" yWindow="0" windowWidth="28800" windowHeight="12630" tabRatio="1000"/>
  </bookViews>
  <sheets>
    <sheet name="Notes" sheetId="12" r:id="rId1"/>
    <sheet name="Site data" sheetId="7" r:id="rId2"/>
    <sheet name="Round 1 raw" sheetId="1" r:id="rId3"/>
    <sheet name="Round 2 raw" sheetId="5" r:id="rId4"/>
    <sheet name="Round 3 raw" sheetId="6" r:id="rId5"/>
    <sheet name="Calibration" sheetId="9" r:id="rId6"/>
    <sheet name="Final measured" sheetId="2" r:id="rId7"/>
    <sheet name="Plots (old)" sheetId="3" state="hidden" r:id="rId8"/>
    <sheet name="Typical values" sheetId="11" state="hidden" r:id="rId9"/>
  </sheets>
  <definedNames>
    <definedName name="Results_Export">'Round 1 raw'!$A$1:$H$55</definedName>
  </definedNames>
  <calcPr calcId="162913"/>
</workbook>
</file>

<file path=xl/calcChain.xml><?xml version="1.0" encoding="utf-8"?>
<calcChain xmlns="http://schemas.openxmlformats.org/spreadsheetml/2006/main">
  <c r="L6" i="9" l="1"/>
  <c r="L38" i="9" l="1"/>
  <c r="X5" i="2"/>
  <c r="D20" i="7" l="1"/>
  <c r="D19" i="7"/>
  <c r="D18" i="7"/>
  <c r="D14" i="7"/>
  <c r="D21" i="7"/>
  <c r="D17" i="7"/>
  <c r="D16" i="7"/>
  <c r="D15" i="7"/>
  <c r="D13" i="7"/>
  <c r="D12" i="7"/>
  <c r="D11" i="7"/>
  <c r="D10" i="7"/>
  <c r="D9" i="7"/>
  <c r="D8" i="7"/>
  <c r="D7" i="7"/>
  <c r="D6" i="7"/>
  <c r="D5" i="7"/>
  <c r="C57" i="9" l="1"/>
  <c r="C56" i="9"/>
  <c r="C55" i="9"/>
  <c r="C53" i="9"/>
  <c r="C52" i="9"/>
  <c r="C51" i="9"/>
  <c r="C45" i="9"/>
  <c r="C44" i="9"/>
  <c r="C43" i="9"/>
  <c r="C41" i="9"/>
  <c r="C40" i="9"/>
  <c r="C39" i="9"/>
  <c r="X118" i="2" l="1"/>
  <c r="W118" i="2"/>
  <c r="V118" i="2"/>
  <c r="T118" i="2"/>
  <c r="S118" i="2"/>
  <c r="R118" i="2"/>
  <c r="X115" i="2"/>
  <c r="W115" i="2"/>
  <c r="V115" i="2"/>
  <c r="T115" i="2"/>
  <c r="S115" i="2"/>
  <c r="R115" i="2"/>
  <c r="M121" i="2"/>
  <c r="N123" i="2"/>
  <c r="M123" i="2"/>
  <c r="N122" i="2"/>
  <c r="M122" i="2"/>
  <c r="N121" i="2"/>
  <c r="P115" i="2"/>
  <c r="O115" i="2"/>
  <c r="N115" i="2"/>
  <c r="M115" i="2"/>
  <c r="P120" i="2"/>
  <c r="O120" i="2"/>
  <c r="N120" i="2"/>
  <c r="M120" i="2"/>
  <c r="P119" i="2"/>
  <c r="O119" i="2"/>
  <c r="N119" i="2"/>
  <c r="M119" i="2"/>
  <c r="P118" i="2"/>
  <c r="O118" i="2"/>
  <c r="N118" i="2"/>
  <c r="AF116" i="2" s="1"/>
  <c r="H23" i="9" s="1"/>
  <c r="M118" i="2"/>
  <c r="AB116" i="2" s="1"/>
  <c r="P117" i="2"/>
  <c r="O117" i="2"/>
  <c r="N117" i="2"/>
  <c r="M117" i="2"/>
  <c r="P116" i="2"/>
  <c r="O116" i="2"/>
  <c r="N116" i="2"/>
  <c r="AE115" i="2" s="1"/>
  <c r="M116" i="2"/>
  <c r="M7" i="6"/>
  <c r="L7" i="6"/>
  <c r="M6" i="6"/>
  <c r="L6" i="6"/>
  <c r="M5" i="6"/>
  <c r="L5" i="6"/>
  <c r="M4" i="6"/>
  <c r="L4" i="6"/>
  <c r="M3" i="6"/>
  <c r="L3" i="6"/>
  <c r="M2" i="6"/>
  <c r="L2" i="6"/>
  <c r="L9" i="6" l="1"/>
  <c r="C8" i="6" s="1"/>
  <c r="AC117" i="2"/>
  <c r="AE116" i="2"/>
  <c r="AR116" i="2" s="1"/>
  <c r="AC115" i="2"/>
  <c r="F27" i="9" s="1"/>
  <c r="E23" i="9"/>
  <c r="E26" i="9" s="1"/>
  <c r="AO116" i="2"/>
  <c r="G27" i="9"/>
  <c r="G29" i="9" s="1"/>
  <c r="AR115" i="2"/>
  <c r="AB115" i="2"/>
  <c r="AF117" i="2"/>
  <c r="AF115" i="2"/>
  <c r="H27" i="9" s="1"/>
  <c r="AB117" i="2"/>
  <c r="AC116" i="2"/>
  <c r="F23" i="9" s="1"/>
  <c r="G30" i="9"/>
  <c r="AE117" i="2"/>
  <c r="M9" i="6"/>
  <c r="C10" i="6"/>
  <c r="C9" i="6"/>
  <c r="F10" i="6" l="1"/>
  <c r="F8" i="6"/>
  <c r="G23" i="9"/>
  <c r="G26" i="9" s="1"/>
  <c r="AH116" i="2"/>
  <c r="B41" i="9"/>
  <c r="E25" i="9"/>
  <c r="AH115" i="2"/>
  <c r="AO115" i="2"/>
  <c r="AU115" i="2" s="1"/>
  <c r="E27" i="9"/>
  <c r="B45" i="9" s="1"/>
  <c r="B57" i="9"/>
  <c r="AU116" i="2"/>
  <c r="F9" i="6"/>
  <c r="C12" i="6"/>
  <c r="F12" i="6" l="1"/>
  <c r="G25" i="9"/>
  <c r="B53" i="9"/>
  <c r="E30" i="9"/>
  <c r="E29" i="9"/>
  <c r="G123" i="2" l="1"/>
  <c r="G122" i="2"/>
  <c r="G121" i="2"/>
  <c r="G120" i="2"/>
  <c r="G119" i="2"/>
  <c r="G118" i="2"/>
  <c r="G117" i="2"/>
  <c r="G116" i="2"/>
  <c r="G115" i="2"/>
  <c r="S87" i="2" l="1"/>
  <c r="T72" i="2"/>
  <c r="O74" i="2"/>
  <c r="N74" i="2"/>
  <c r="S69" i="2"/>
  <c r="R69" i="2"/>
  <c r="X108" i="2"/>
  <c r="W108" i="2"/>
  <c r="V108" i="2"/>
  <c r="T108" i="2"/>
  <c r="S108" i="2"/>
  <c r="R108" i="2"/>
  <c r="X105" i="2"/>
  <c r="W105" i="2"/>
  <c r="V105" i="2"/>
  <c r="T105" i="2"/>
  <c r="S105" i="2"/>
  <c r="R105" i="2"/>
  <c r="X102" i="2"/>
  <c r="W102" i="2"/>
  <c r="V102" i="2"/>
  <c r="T102" i="2"/>
  <c r="S102" i="2"/>
  <c r="R102" i="2"/>
  <c r="X99" i="2"/>
  <c r="W99" i="2"/>
  <c r="V99" i="2"/>
  <c r="T99" i="2"/>
  <c r="S99" i="2"/>
  <c r="R99" i="2"/>
  <c r="X96" i="2"/>
  <c r="W96" i="2"/>
  <c r="V96" i="2"/>
  <c r="T96" i="2"/>
  <c r="S96" i="2"/>
  <c r="R96" i="2"/>
  <c r="X93" i="2"/>
  <c r="W93" i="2"/>
  <c r="V93" i="2"/>
  <c r="T93" i="2"/>
  <c r="S93" i="2"/>
  <c r="R93" i="2"/>
  <c r="X90" i="2"/>
  <c r="W90" i="2"/>
  <c r="V90" i="2"/>
  <c r="T90" i="2"/>
  <c r="S90" i="2"/>
  <c r="R90" i="2"/>
  <c r="X87" i="2"/>
  <c r="W87" i="2"/>
  <c r="V87" i="2"/>
  <c r="T87" i="2"/>
  <c r="R87" i="2"/>
  <c r="X84" i="2"/>
  <c r="W84" i="2"/>
  <c r="V84" i="2"/>
  <c r="T84" i="2"/>
  <c r="S84" i="2"/>
  <c r="R84" i="2"/>
  <c r="X81" i="2"/>
  <c r="W81" i="2"/>
  <c r="V81" i="2"/>
  <c r="T81" i="2"/>
  <c r="S81" i="2"/>
  <c r="R81" i="2"/>
  <c r="X78" i="2"/>
  <c r="W78" i="2"/>
  <c r="V78" i="2"/>
  <c r="T78" i="2"/>
  <c r="S78" i="2"/>
  <c r="R78" i="2"/>
  <c r="X75" i="2"/>
  <c r="W75" i="2"/>
  <c r="V75" i="2"/>
  <c r="T75" i="2"/>
  <c r="S75" i="2"/>
  <c r="R75" i="2"/>
  <c r="X72" i="2"/>
  <c r="W72" i="2"/>
  <c r="V72" i="2"/>
  <c r="S72" i="2"/>
  <c r="R72" i="2"/>
  <c r="X69" i="2"/>
  <c r="W69" i="2"/>
  <c r="V69" i="2"/>
  <c r="T69" i="2"/>
  <c r="X66" i="2"/>
  <c r="W66" i="2"/>
  <c r="V66" i="2"/>
  <c r="T66" i="2"/>
  <c r="S66" i="2"/>
  <c r="R66" i="2"/>
  <c r="X63" i="2"/>
  <c r="W63" i="2"/>
  <c r="V63" i="2"/>
  <c r="T63" i="2"/>
  <c r="S63" i="2"/>
  <c r="R63" i="2"/>
  <c r="X60" i="2"/>
  <c r="W60" i="2"/>
  <c r="V60" i="2"/>
  <c r="T60" i="2"/>
  <c r="S60" i="2"/>
  <c r="R60" i="2"/>
  <c r="P88" i="2"/>
  <c r="O87" i="2"/>
  <c r="N88" i="2"/>
  <c r="M87" i="2"/>
  <c r="P74" i="2"/>
  <c r="P62" i="2"/>
  <c r="M60" i="2"/>
  <c r="P110" i="2"/>
  <c r="O110" i="2"/>
  <c r="N110" i="2"/>
  <c r="M110" i="2"/>
  <c r="P109" i="2"/>
  <c r="O109" i="2"/>
  <c r="N109" i="2"/>
  <c r="M109" i="2"/>
  <c r="P108" i="2"/>
  <c r="O108" i="2"/>
  <c r="N108" i="2"/>
  <c r="AE76" i="2" s="1"/>
  <c r="AR76" i="2" s="1"/>
  <c r="M108" i="2"/>
  <c r="AC76" i="2" s="1"/>
  <c r="P107" i="2"/>
  <c r="O107" i="2"/>
  <c r="N107" i="2"/>
  <c r="M107" i="2"/>
  <c r="P106" i="2"/>
  <c r="O106" i="2"/>
  <c r="N106" i="2"/>
  <c r="M106" i="2"/>
  <c r="P105" i="2"/>
  <c r="O105" i="2"/>
  <c r="N105" i="2"/>
  <c r="AE75" i="2" s="1"/>
  <c r="AR75" i="2" s="1"/>
  <c r="M105" i="2"/>
  <c r="AB75" i="2" s="1"/>
  <c r="AO75" i="2" s="1"/>
  <c r="P104" i="2"/>
  <c r="O104" i="2"/>
  <c r="N104" i="2"/>
  <c r="M104" i="2"/>
  <c r="P103" i="2"/>
  <c r="O103" i="2"/>
  <c r="N103" i="2"/>
  <c r="M103" i="2"/>
  <c r="P102" i="2"/>
  <c r="O102" i="2"/>
  <c r="N102" i="2"/>
  <c r="AE74" i="2" s="1"/>
  <c r="AR74" i="2" s="1"/>
  <c r="M102" i="2"/>
  <c r="P101" i="2"/>
  <c r="O101" i="2"/>
  <c r="N101" i="2"/>
  <c r="M101" i="2"/>
  <c r="P100" i="2"/>
  <c r="O100" i="2"/>
  <c r="N100" i="2"/>
  <c r="M100" i="2"/>
  <c r="P99" i="2"/>
  <c r="O99" i="2"/>
  <c r="N99" i="2"/>
  <c r="AE73" i="2" s="1"/>
  <c r="AR73" i="2" s="1"/>
  <c r="M99" i="2"/>
  <c r="AB73" i="2" s="1"/>
  <c r="AO73" i="2" s="1"/>
  <c r="P98" i="2"/>
  <c r="O98" i="2"/>
  <c r="N98" i="2"/>
  <c r="M98" i="2"/>
  <c r="P97" i="2"/>
  <c r="O97" i="2"/>
  <c r="N97" i="2"/>
  <c r="M97" i="2"/>
  <c r="P96" i="2"/>
  <c r="O96" i="2"/>
  <c r="N96" i="2"/>
  <c r="AE72" i="2" s="1"/>
  <c r="AR72" i="2" s="1"/>
  <c r="M96" i="2"/>
  <c r="AC72" i="2" s="1"/>
  <c r="P95" i="2"/>
  <c r="O95" i="2"/>
  <c r="N95" i="2"/>
  <c r="M95" i="2"/>
  <c r="P94" i="2"/>
  <c r="O94" i="2"/>
  <c r="N94" i="2"/>
  <c r="M94" i="2"/>
  <c r="P93" i="2"/>
  <c r="O93" i="2"/>
  <c r="N93" i="2"/>
  <c r="AE71" i="2" s="1"/>
  <c r="AR71" i="2" s="1"/>
  <c r="M93" i="2"/>
  <c r="AB71" i="2" s="1"/>
  <c r="AO71" i="2" s="1"/>
  <c r="P92" i="2"/>
  <c r="O92" i="2"/>
  <c r="N92" i="2"/>
  <c r="M92" i="2"/>
  <c r="P91" i="2"/>
  <c r="O91" i="2"/>
  <c r="N91" i="2"/>
  <c r="M91" i="2"/>
  <c r="P90" i="2"/>
  <c r="O90" i="2"/>
  <c r="N90" i="2"/>
  <c r="AE70" i="2" s="1"/>
  <c r="AR70" i="2" s="1"/>
  <c r="M90" i="2"/>
  <c r="AC70" i="2" s="1"/>
  <c r="P89" i="2"/>
  <c r="O89" i="2"/>
  <c r="N89" i="2"/>
  <c r="M89" i="2"/>
  <c r="O88" i="2"/>
  <c r="M88" i="2"/>
  <c r="P87" i="2"/>
  <c r="N87" i="2"/>
  <c r="AE69" i="2" s="1"/>
  <c r="AR69" i="2" s="1"/>
  <c r="P86" i="2"/>
  <c r="O86" i="2"/>
  <c r="N86" i="2"/>
  <c r="M86" i="2"/>
  <c r="P85" i="2"/>
  <c r="O85" i="2"/>
  <c r="N85" i="2"/>
  <c r="M85" i="2"/>
  <c r="P84" i="2"/>
  <c r="O84" i="2"/>
  <c r="N84" i="2"/>
  <c r="AE68" i="2" s="1"/>
  <c r="AR68" i="2" s="1"/>
  <c r="M84" i="2"/>
  <c r="AB68" i="2" s="1"/>
  <c r="AO68" i="2" s="1"/>
  <c r="P83" i="2"/>
  <c r="O83" i="2"/>
  <c r="N83" i="2"/>
  <c r="M83" i="2"/>
  <c r="P82" i="2"/>
  <c r="O82" i="2"/>
  <c r="N82" i="2"/>
  <c r="M82" i="2"/>
  <c r="P81" i="2"/>
  <c r="O81" i="2"/>
  <c r="N81" i="2"/>
  <c r="AE67" i="2" s="1"/>
  <c r="AR67" i="2" s="1"/>
  <c r="M81" i="2"/>
  <c r="AC67" i="2" s="1"/>
  <c r="P80" i="2"/>
  <c r="O80" i="2"/>
  <c r="N80" i="2"/>
  <c r="M80" i="2"/>
  <c r="P79" i="2"/>
  <c r="O79" i="2"/>
  <c r="N79" i="2"/>
  <c r="M79" i="2"/>
  <c r="P78" i="2"/>
  <c r="O78" i="2"/>
  <c r="N78" i="2"/>
  <c r="AE66" i="2" s="1"/>
  <c r="AR66" i="2" s="1"/>
  <c r="M78" i="2"/>
  <c r="AB66" i="2" s="1"/>
  <c r="AO66" i="2" s="1"/>
  <c r="P77" i="2"/>
  <c r="O77" i="2"/>
  <c r="N77" i="2"/>
  <c r="M77" i="2"/>
  <c r="P76" i="2"/>
  <c r="O76" i="2"/>
  <c r="N76" i="2"/>
  <c r="M76" i="2"/>
  <c r="P75" i="2"/>
  <c r="O75" i="2"/>
  <c r="N75" i="2"/>
  <c r="AE65" i="2" s="1"/>
  <c r="AR65" i="2" s="1"/>
  <c r="M75" i="2"/>
  <c r="AB65" i="2" s="1"/>
  <c r="AO65" i="2" s="1"/>
  <c r="M74" i="2"/>
  <c r="P73" i="2"/>
  <c r="O73" i="2"/>
  <c r="N73" i="2"/>
  <c r="M73" i="2"/>
  <c r="P72" i="2"/>
  <c r="O72" i="2"/>
  <c r="N72" i="2"/>
  <c r="M72" i="2"/>
  <c r="AB64" i="2" s="1"/>
  <c r="AO64" i="2" s="1"/>
  <c r="P71" i="2"/>
  <c r="O71" i="2"/>
  <c r="N71" i="2"/>
  <c r="M71" i="2"/>
  <c r="P70" i="2"/>
  <c r="O70" i="2"/>
  <c r="N70" i="2"/>
  <c r="M70" i="2"/>
  <c r="P69" i="2"/>
  <c r="O69" i="2"/>
  <c r="N69" i="2"/>
  <c r="M69" i="2"/>
  <c r="AC63" i="2" s="1"/>
  <c r="P68" i="2"/>
  <c r="O68" i="2"/>
  <c r="N68" i="2"/>
  <c r="M68" i="2"/>
  <c r="P67" i="2"/>
  <c r="O67" i="2"/>
  <c r="N67" i="2"/>
  <c r="M67" i="2"/>
  <c r="P66" i="2"/>
  <c r="O66" i="2"/>
  <c r="N66" i="2"/>
  <c r="AE62" i="2" s="1"/>
  <c r="AR62" i="2" s="1"/>
  <c r="M66" i="2"/>
  <c r="AC62" i="2" s="1"/>
  <c r="P65" i="2"/>
  <c r="O65" i="2"/>
  <c r="N65" i="2"/>
  <c r="M65" i="2"/>
  <c r="P64" i="2"/>
  <c r="O64" i="2"/>
  <c r="N64" i="2"/>
  <c r="M64" i="2"/>
  <c r="P63" i="2"/>
  <c r="O63" i="2"/>
  <c r="N63" i="2"/>
  <c r="AE61" i="2" s="1"/>
  <c r="AR61" i="2" s="1"/>
  <c r="M63" i="2"/>
  <c r="AC61" i="2" s="1"/>
  <c r="F14" i="9" s="1"/>
  <c r="O62" i="2"/>
  <c r="N62" i="2"/>
  <c r="M62" i="2"/>
  <c r="P61" i="2"/>
  <c r="O61" i="2"/>
  <c r="N61" i="2"/>
  <c r="M61" i="2"/>
  <c r="P60" i="2"/>
  <c r="O60" i="2"/>
  <c r="N60" i="2"/>
  <c r="AE60" i="2" s="1"/>
  <c r="AR60" i="2" s="1"/>
  <c r="M52" i="5"/>
  <c r="L52" i="5"/>
  <c r="M51" i="5"/>
  <c r="L51" i="5"/>
  <c r="M50" i="5"/>
  <c r="L50" i="5"/>
  <c r="M49" i="5"/>
  <c r="L49" i="5"/>
  <c r="M48" i="5"/>
  <c r="L48" i="5"/>
  <c r="M47" i="5"/>
  <c r="L47" i="5"/>
  <c r="M46" i="5"/>
  <c r="L46" i="5"/>
  <c r="M45" i="5"/>
  <c r="L45" i="5"/>
  <c r="M44" i="5"/>
  <c r="L44" i="5"/>
  <c r="M43" i="5"/>
  <c r="L43" i="5"/>
  <c r="M42" i="5"/>
  <c r="L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2" i="5"/>
  <c r="L12" i="5"/>
  <c r="M11" i="5"/>
  <c r="L11" i="5"/>
  <c r="M10" i="5"/>
  <c r="L10" i="5"/>
  <c r="M9" i="5"/>
  <c r="L9" i="5"/>
  <c r="M8" i="5"/>
  <c r="L8" i="5"/>
  <c r="M7" i="5"/>
  <c r="L7" i="5"/>
  <c r="M6" i="5"/>
  <c r="L6" i="5"/>
  <c r="M5" i="5"/>
  <c r="L5" i="5"/>
  <c r="M4" i="5"/>
  <c r="L4" i="5"/>
  <c r="M3" i="5"/>
  <c r="L3" i="5"/>
  <c r="M2" i="5"/>
  <c r="L2" i="5"/>
  <c r="AE63" i="2" l="1"/>
  <c r="AR63" i="2" s="1"/>
  <c r="L54" i="5"/>
  <c r="M54" i="5"/>
  <c r="AC74" i="2"/>
  <c r="AC68" i="2"/>
  <c r="AC73" i="2"/>
  <c r="AF64" i="2"/>
  <c r="AC65" i="2"/>
  <c r="AB67" i="2"/>
  <c r="AO67" i="2" s="1"/>
  <c r="AB72" i="2"/>
  <c r="AB76" i="2"/>
  <c r="AB62" i="2"/>
  <c r="AO62" i="2" s="1"/>
  <c r="AC64" i="2"/>
  <c r="AE64" i="2"/>
  <c r="AH65" i="2"/>
  <c r="AH66" i="2"/>
  <c r="AH71" i="2"/>
  <c r="AH73" i="2"/>
  <c r="AH75" i="2"/>
  <c r="AC60" i="2"/>
  <c r="F18" i="9" s="1"/>
  <c r="AB61" i="2"/>
  <c r="AH61" i="2" s="1"/>
  <c r="AB63" i="2"/>
  <c r="AO63" i="2" s="1"/>
  <c r="AC66" i="2"/>
  <c r="AB70" i="2"/>
  <c r="AO70" i="2" s="1"/>
  <c r="AC71" i="2"/>
  <c r="AB74" i="2"/>
  <c r="AC75" i="2"/>
  <c r="AC69" i="2"/>
  <c r="AB60" i="2"/>
  <c r="G18" i="9"/>
  <c r="AU71" i="2"/>
  <c r="AU73" i="2"/>
  <c r="AU75" i="2"/>
  <c r="G14" i="9"/>
  <c r="AH68" i="2"/>
  <c r="AB69" i="2"/>
  <c r="AF60" i="2"/>
  <c r="H18" i="9" s="1"/>
  <c r="AF61" i="2"/>
  <c r="H14" i="9" s="1"/>
  <c r="AF62" i="2"/>
  <c r="AF63" i="2"/>
  <c r="AF65" i="2"/>
  <c r="AF66" i="2"/>
  <c r="AF67" i="2"/>
  <c r="AF68" i="2"/>
  <c r="AF70" i="2"/>
  <c r="AF71" i="2"/>
  <c r="AF72" i="2"/>
  <c r="AF73" i="2"/>
  <c r="AF74" i="2"/>
  <c r="AF75" i="2"/>
  <c r="AF76" i="2"/>
  <c r="AF69" i="2"/>
  <c r="AU65" i="2"/>
  <c r="AU68" i="2"/>
  <c r="M55" i="2"/>
  <c r="M2" i="1"/>
  <c r="L52" i="1"/>
  <c r="M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L2" i="1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54" i="2"/>
  <c r="M53" i="2"/>
  <c r="AC21" i="2" s="1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AB14" i="2" s="1"/>
  <c r="AO14" i="2" s="1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O5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8" i="2"/>
  <c r="G57" i="2"/>
  <c r="G56" i="2"/>
  <c r="L54" i="1" l="1"/>
  <c r="M54" i="1"/>
  <c r="E8" i="11"/>
  <c r="H8" i="11" s="1"/>
  <c r="L7" i="11" s="1"/>
  <c r="E7" i="11"/>
  <c r="H7" i="11" s="1"/>
  <c r="F53" i="1"/>
  <c r="I56" i="2" s="1"/>
  <c r="M56" i="2" s="1"/>
  <c r="F54" i="1"/>
  <c r="I57" i="2" s="1"/>
  <c r="M57" i="2" s="1"/>
  <c r="F55" i="1"/>
  <c r="I58" i="2" s="1"/>
  <c r="M58" i="2" s="1"/>
  <c r="E3" i="11"/>
  <c r="H3" i="11" s="1"/>
  <c r="E4" i="11"/>
  <c r="H4" i="11" s="1"/>
  <c r="L3" i="11" s="1"/>
  <c r="C53" i="1"/>
  <c r="C54" i="1"/>
  <c r="J57" i="2" s="1"/>
  <c r="N57" i="2" s="1"/>
  <c r="C55" i="1"/>
  <c r="J58" i="2" s="1"/>
  <c r="N58" i="2" s="1"/>
  <c r="F8" i="11"/>
  <c r="I8" i="11" s="1"/>
  <c r="F7" i="11"/>
  <c r="I7" i="11" s="1"/>
  <c r="K7" i="11" s="1"/>
  <c r="F53" i="5"/>
  <c r="F54" i="5"/>
  <c r="I112" i="2" s="1"/>
  <c r="M112" i="2" s="1"/>
  <c r="F55" i="5"/>
  <c r="I113" i="2" s="1"/>
  <c r="M113" i="2" s="1"/>
  <c r="F3" i="11"/>
  <c r="I3" i="11" s="1"/>
  <c r="K3" i="11" s="1"/>
  <c r="F4" i="11"/>
  <c r="I4" i="11" s="1"/>
  <c r="C55" i="5"/>
  <c r="J113" i="2" s="1"/>
  <c r="N113" i="2" s="1"/>
  <c r="C54" i="5"/>
  <c r="J112" i="2" s="1"/>
  <c r="N112" i="2" s="1"/>
  <c r="C53" i="5"/>
  <c r="AU70" i="2"/>
  <c r="AC13" i="2"/>
  <c r="AC17" i="2"/>
  <c r="AE7" i="2"/>
  <c r="AR7" i="2" s="1"/>
  <c r="AE11" i="2"/>
  <c r="AR11" i="2" s="1"/>
  <c r="AE15" i="2"/>
  <c r="AR15" i="2" s="1"/>
  <c r="AE19" i="2"/>
  <c r="AR19" i="2" s="1"/>
  <c r="E18" i="9"/>
  <c r="AO60" i="2"/>
  <c r="AH62" i="2"/>
  <c r="E14" i="9"/>
  <c r="AO61" i="2"/>
  <c r="AH69" i="2"/>
  <c r="AO69" i="2"/>
  <c r="AH70" i="2"/>
  <c r="AH74" i="2"/>
  <c r="AO74" i="2"/>
  <c r="AH64" i="2"/>
  <c r="AR64" i="2"/>
  <c r="AH76" i="2"/>
  <c r="AO76" i="2"/>
  <c r="AH63" i="2"/>
  <c r="AH67" i="2"/>
  <c r="AH72" i="2"/>
  <c r="AO72" i="2"/>
  <c r="AC19" i="2"/>
  <c r="AB8" i="2"/>
  <c r="AO8" i="2" s="1"/>
  <c r="AB16" i="2"/>
  <c r="AO16" i="2" s="1"/>
  <c r="AB20" i="2"/>
  <c r="AO20" i="2" s="1"/>
  <c r="AE6" i="2"/>
  <c r="AR6" i="2" s="1"/>
  <c r="AE10" i="2"/>
  <c r="AE18" i="2"/>
  <c r="AC15" i="2"/>
  <c r="AC12" i="2"/>
  <c r="AE9" i="2"/>
  <c r="AF14" i="2"/>
  <c r="AU66" i="2"/>
  <c r="AB10" i="2"/>
  <c r="AO10" i="2" s="1"/>
  <c r="AB13" i="2"/>
  <c r="AO13" i="2" s="1"/>
  <c r="AB18" i="2"/>
  <c r="AO18" i="2" s="1"/>
  <c r="AF8" i="2"/>
  <c r="AF12" i="2"/>
  <c r="AB15" i="2"/>
  <c r="AE5" i="2"/>
  <c r="AE13" i="2"/>
  <c r="AE17" i="2"/>
  <c r="AR17" i="2" s="1"/>
  <c r="AE21" i="2"/>
  <c r="AR21" i="2" s="1"/>
  <c r="AE14" i="2"/>
  <c r="AU67" i="2"/>
  <c r="AB5" i="2"/>
  <c r="AC6" i="2"/>
  <c r="F5" i="9" s="1"/>
  <c r="AF16" i="2"/>
  <c r="AF20" i="2"/>
  <c r="AC7" i="2"/>
  <c r="AB11" i="2"/>
  <c r="AB19" i="2"/>
  <c r="AB6" i="2"/>
  <c r="AC10" i="2"/>
  <c r="AC18" i="2"/>
  <c r="AC11" i="2"/>
  <c r="AH60" i="2"/>
  <c r="G9" i="9"/>
  <c r="AE8" i="2"/>
  <c r="AE12" i="2"/>
  <c r="AR12" i="2" s="1"/>
  <c r="AE16" i="2"/>
  <c r="AR16" i="2" s="1"/>
  <c r="AE20" i="2"/>
  <c r="AU62" i="2"/>
  <c r="AC8" i="2"/>
  <c r="AC16" i="2"/>
  <c r="AF6" i="2"/>
  <c r="H5" i="9" s="1"/>
  <c r="AF10" i="2"/>
  <c r="AF18" i="2"/>
  <c r="AC5" i="2"/>
  <c r="F9" i="9" s="1"/>
  <c r="AB9" i="2"/>
  <c r="AO9" i="2" s="1"/>
  <c r="AB7" i="2"/>
  <c r="AB12" i="2"/>
  <c r="AO12" i="2" s="1"/>
  <c r="AB17" i="2"/>
  <c r="AO17" i="2" s="1"/>
  <c r="AB21" i="2"/>
  <c r="AC14" i="2"/>
  <c r="AF7" i="2"/>
  <c r="AF9" i="2"/>
  <c r="AF11" i="2"/>
  <c r="AF13" i="2"/>
  <c r="AF15" i="2"/>
  <c r="AF17" i="2"/>
  <c r="AF19" i="2"/>
  <c r="AF21" i="2"/>
  <c r="AF5" i="2"/>
  <c r="H9" i="9" s="1"/>
  <c r="AU63" i="2"/>
  <c r="G16" i="9"/>
  <c r="B52" i="9"/>
  <c r="G17" i="9"/>
  <c r="AC20" i="2"/>
  <c r="AC9" i="2"/>
  <c r="G20" i="9"/>
  <c r="G21" i="9"/>
  <c r="B56" i="9"/>
  <c r="G5" i="9" l="1"/>
  <c r="AC22" i="2"/>
  <c r="AB22" i="2"/>
  <c r="J56" i="2"/>
  <c r="N56" i="2" s="1"/>
  <c r="C57" i="1"/>
  <c r="AU61" i="2"/>
  <c r="AU60" i="2"/>
  <c r="C57" i="5"/>
  <c r="J111" i="2"/>
  <c r="N111" i="2" s="1"/>
  <c r="AU64" i="2"/>
  <c r="AU72" i="2"/>
  <c r="AU76" i="2"/>
  <c r="F57" i="1"/>
  <c r="AU74" i="2"/>
  <c r="AU69" i="2"/>
  <c r="F57" i="5"/>
  <c r="I111" i="2"/>
  <c r="M111" i="2" s="1"/>
  <c r="E5" i="9"/>
  <c r="E8" i="9" s="1"/>
  <c r="AO6" i="2"/>
  <c r="E9" i="9"/>
  <c r="AO5" i="2"/>
  <c r="AH7" i="2"/>
  <c r="AO7" i="2"/>
  <c r="AH8" i="2"/>
  <c r="AR8" i="2"/>
  <c r="AH19" i="2"/>
  <c r="AO19" i="2"/>
  <c r="AH13" i="2"/>
  <c r="AR13" i="2"/>
  <c r="AH9" i="2"/>
  <c r="AR9" i="2"/>
  <c r="AH18" i="2"/>
  <c r="AR18" i="2"/>
  <c r="AH21" i="2"/>
  <c r="AO21" i="2"/>
  <c r="AH20" i="2"/>
  <c r="AR20" i="2"/>
  <c r="AH11" i="2"/>
  <c r="AO11" i="2"/>
  <c r="AH14" i="2"/>
  <c r="AR14" i="2"/>
  <c r="AH5" i="2"/>
  <c r="AR5" i="2"/>
  <c r="AH10" i="2"/>
  <c r="AR10" i="2"/>
  <c r="E21" i="9"/>
  <c r="B44" i="9"/>
  <c r="E20" i="9"/>
  <c r="AH15" i="2"/>
  <c r="AO15" i="2"/>
  <c r="E17" i="9"/>
  <c r="E16" i="9"/>
  <c r="B40" i="9"/>
  <c r="AH16" i="2"/>
  <c r="AH17" i="2"/>
  <c r="AH6" i="2"/>
  <c r="B51" i="9"/>
  <c r="G7" i="9"/>
  <c r="G8" i="9"/>
  <c r="AH12" i="2"/>
  <c r="B55" i="9"/>
  <c r="G11" i="9"/>
  <c r="G12" i="9"/>
  <c r="AB77" i="2" l="1"/>
  <c r="AC77" i="2"/>
  <c r="AF22" i="2"/>
  <c r="AE22" i="2"/>
  <c r="AE77" i="2"/>
  <c r="AF77" i="2"/>
  <c r="E12" i="9"/>
  <c r="E11" i="9"/>
  <c r="B39" i="9"/>
  <c r="E7" i="9"/>
  <c r="B43" i="9"/>
  <c r="G5" i="2" l="1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R32" i="2" l="1"/>
  <c r="S26" i="2"/>
  <c r="R17" i="2"/>
  <c r="X53" i="2"/>
  <c r="W53" i="2"/>
  <c r="V53" i="2"/>
  <c r="T53" i="2"/>
  <c r="S53" i="2"/>
  <c r="R53" i="2"/>
  <c r="X50" i="2"/>
  <c r="W50" i="2"/>
  <c r="V50" i="2"/>
  <c r="T50" i="2"/>
  <c r="S50" i="2"/>
  <c r="R50" i="2"/>
  <c r="X47" i="2"/>
  <c r="W47" i="2"/>
  <c r="V47" i="2"/>
  <c r="T47" i="2"/>
  <c r="S47" i="2"/>
  <c r="R47" i="2"/>
  <c r="X44" i="2"/>
  <c r="W44" i="2"/>
  <c r="V44" i="2"/>
  <c r="T44" i="2"/>
  <c r="S44" i="2"/>
  <c r="R44" i="2"/>
  <c r="X41" i="2"/>
  <c r="W41" i="2"/>
  <c r="V41" i="2"/>
  <c r="T41" i="2"/>
  <c r="S41" i="2"/>
  <c r="R41" i="2"/>
  <c r="X38" i="2"/>
  <c r="W38" i="2"/>
  <c r="V38" i="2"/>
  <c r="T38" i="2"/>
  <c r="S38" i="2"/>
  <c r="R38" i="2"/>
  <c r="X35" i="2"/>
  <c r="W35" i="2"/>
  <c r="V35" i="2"/>
  <c r="T35" i="2"/>
  <c r="S35" i="2"/>
  <c r="R35" i="2"/>
  <c r="X32" i="2"/>
  <c r="W32" i="2"/>
  <c r="V32" i="2"/>
  <c r="T32" i="2"/>
  <c r="S32" i="2"/>
  <c r="X29" i="2"/>
  <c r="W29" i="2"/>
  <c r="V29" i="2"/>
  <c r="T29" i="2"/>
  <c r="S29" i="2"/>
  <c r="R29" i="2"/>
  <c r="X26" i="2"/>
  <c r="W26" i="2"/>
  <c r="V26" i="2"/>
  <c r="T26" i="2"/>
  <c r="R26" i="2"/>
  <c r="X23" i="2"/>
  <c r="W23" i="2"/>
  <c r="V23" i="2"/>
  <c r="T23" i="2"/>
  <c r="S23" i="2"/>
  <c r="R23" i="2"/>
  <c r="X20" i="2"/>
  <c r="W20" i="2"/>
  <c r="V20" i="2"/>
  <c r="T20" i="2"/>
  <c r="S20" i="2"/>
  <c r="R20" i="2"/>
  <c r="X17" i="2"/>
  <c r="W17" i="2"/>
  <c r="V17" i="2"/>
  <c r="T17" i="2"/>
  <c r="S17" i="2"/>
  <c r="X14" i="2"/>
  <c r="W14" i="2"/>
  <c r="V14" i="2"/>
  <c r="T14" i="2"/>
  <c r="S14" i="2"/>
  <c r="R14" i="2"/>
  <c r="X11" i="2"/>
  <c r="W11" i="2"/>
  <c r="V11" i="2"/>
  <c r="T11" i="2"/>
  <c r="S11" i="2"/>
  <c r="R11" i="2"/>
  <c r="X8" i="2"/>
  <c r="W8" i="2"/>
  <c r="V8" i="2"/>
  <c r="T8" i="2"/>
  <c r="S8" i="2"/>
  <c r="R8" i="2"/>
  <c r="W5" i="2"/>
  <c r="V5" i="2"/>
  <c r="T5" i="2"/>
  <c r="S5" i="2"/>
  <c r="R5" i="2"/>
  <c r="P52" i="2"/>
  <c r="O52" i="2"/>
  <c r="P51" i="2"/>
  <c r="O51" i="2"/>
  <c r="P50" i="2"/>
  <c r="O50" i="2"/>
  <c r="P46" i="2"/>
  <c r="O46" i="2"/>
  <c r="P45" i="2"/>
  <c r="O45" i="2"/>
  <c r="P44" i="2"/>
  <c r="O44" i="2"/>
  <c r="P40" i="2"/>
  <c r="O40" i="2"/>
  <c r="P39" i="2"/>
  <c r="O39" i="2"/>
  <c r="P38" i="2"/>
  <c r="O38" i="2"/>
  <c r="P34" i="2"/>
  <c r="O34" i="2"/>
  <c r="P33" i="2"/>
  <c r="O33" i="2"/>
  <c r="P32" i="2"/>
  <c r="O32" i="2"/>
  <c r="P28" i="2"/>
  <c r="O28" i="2"/>
  <c r="P27" i="2"/>
  <c r="O27" i="2"/>
  <c r="P26" i="2"/>
  <c r="O26" i="2"/>
  <c r="P22" i="2"/>
  <c r="O22" i="2"/>
  <c r="P21" i="2"/>
  <c r="O21" i="2"/>
  <c r="P20" i="2"/>
  <c r="O20" i="2"/>
  <c r="P16" i="2"/>
  <c r="O16" i="2"/>
  <c r="P15" i="2"/>
  <c r="O15" i="2"/>
  <c r="P14" i="2"/>
  <c r="O14" i="2"/>
  <c r="P55" i="2"/>
  <c r="O55" i="2"/>
  <c r="P54" i="2"/>
  <c r="O54" i="2"/>
  <c r="P53" i="2"/>
  <c r="O53" i="2"/>
  <c r="P49" i="2"/>
  <c r="O49" i="2"/>
  <c r="P48" i="2"/>
  <c r="O48" i="2"/>
  <c r="P47" i="2"/>
  <c r="O47" i="2"/>
  <c r="P43" i="2"/>
  <c r="O43" i="2"/>
  <c r="P42" i="2"/>
  <c r="O42" i="2"/>
  <c r="P41" i="2"/>
  <c r="O41" i="2"/>
  <c r="P37" i="2"/>
  <c r="O37" i="2"/>
  <c r="P36" i="2"/>
  <c r="O36" i="2"/>
  <c r="P35" i="2"/>
  <c r="O35" i="2"/>
  <c r="P31" i="2"/>
  <c r="O31" i="2"/>
  <c r="P30" i="2"/>
  <c r="O30" i="2"/>
  <c r="P29" i="2"/>
  <c r="O29" i="2"/>
  <c r="P25" i="2"/>
  <c r="O25" i="2"/>
  <c r="P24" i="2"/>
  <c r="O24" i="2"/>
  <c r="P23" i="2"/>
  <c r="O23" i="2"/>
  <c r="P19" i="2"/>
  <c r="O19" i="2"/>
  <c r="P18" i="2"/>
  <c r="O18" i="2"/>
  <c r="P17" i="2"/>
  <c r="O17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AU10" i="2" l="1"/>
  <c r="AU17" i="2"/>
  <c r="AU19" i="2"/>
  <c r="AU21" i="2"/>
  <c r="AU11" i="2"/>
  <c r="AU16" i="2"/>
  <c r="AU20" i="2"/>
  <c r="AU18" i="2"/>
  <c r="AU13" i="2"/>
  <c r="AU5" i="2"/>
  <c r="AU12" i="2"/>
  <c r="AU15" i="2"/>
  <c r="AU9" i="2" l="1"/>
  <c r="AU8" i="2"/>
  <c r="AU14" i="2"/>
  <c r="AU7" i="2"/>
  <c r="AU6" i="2" l="1"/>
</calcChain>
</file>

<file path=xl/comments1.xml><?xml version="1.0" encoding="utf-8"?>
<comments xmlns="http://schemas.openxmlformats.org/spreadsheetml/2006/main">
  <authors>
    <author>Paul Boulter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</rPr>
          <t>Paul Boulter:</t>
        </r>
        <r>
          <rPr>
            <sz val="9"/>
            <color indexed="81"/>
            <rFont val="Tahoma"/>
            <family val="2"/>
          </rPr>
          <t xml:space="preserve">
5C fell on ground during sampling (non-concordant for NO2). All values removed </t>
        </r>
      </text>
    </comment>
  </commentList>
</comments>
</file>

<file path=xl/sharedStrings.xml><?xml version="1.0" encoding="utf-8"?>
<sst xmlns="http://schemas.openxmlformats.org/spreadsheetml/2006/main" count="427" uniqueCount="149">
  <si>
    <t>Sample_ID</t>
  </si>
  <si>
    <t>Lab_NO2_ng</t>
  </si>
  <si>
    <t>Result_NO2_ppb</t>
  </si>
  <si>
    <t>Result_NO2_ppb_blank</t>
  </si>
  <si>
    <t>Lab_NOx_ng</t>
  </si>
  <si>
    <t>Result_NOx_ppb</t>
  </si>
  <si>
    <t>Result_NOx_ppb_blank</t>
  </si>
  <si>
    <t>Result_Comment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</si>
  <si>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</si>
  <si>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</si>
  <si>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</si>
  <si>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</si>
  <si>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</si>
  <si>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</si>
  <si>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</si>
  <si>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</si>
  <si>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</si>
  <si>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</si>
  <si>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</si>
  <si>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</si>
  <si>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</si>
  <si>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</si>
  <si>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</si>
  <si>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</si>
  <si>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</si>
  <si>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</si>
  <si>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</si>
  <si>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</si>
  <si>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</si>
  <si>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</si>
  <si>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</si>
  <si>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</si>
  <si>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</si>
  <si>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</si>
  <si>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</si>
  <si>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</si>
  <si>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</si>
  <si>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</si>
  <si>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</si>
  <si>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</si>
  <si>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</si>
  <si>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</si>
  <si>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</si>
  <si>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</si>
  <si>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</si>
  <si>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</si>
  <si>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</si>
  <si>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</si>
  <si>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</si>
  <si>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</si>
  <si>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</si>
  <si>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</si>
  <si>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</si>
  <si>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</si>
  <si>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</si>
  <si>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</si>
  <si>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17A</t>
  </si>
  <si>
    <t>17B</t>
  </si>
  <si>
    <t>17C</t>
  </si>
  <si>
    <t>BKA</t>
  </si>
  <si>
    <t>BKB</t>
  </si>
  <si>
    <t>BKC</t>
  </si>
  <si>
    <t>Start date</t>
  </si>
  <si>
    <t>Start time</t>
  </si>
  <si>
    <t>End date</t>
  </si>
  <si>
    <t>End time</t>
  </si>
  <si>
    <t>Round</t>
  </si>
  <si>
    <t>NOx (ug/m3)</t>
  </si>
  <si>
    <t>NO2 (ug/m3)</t>
  </si>
  <si>
    <t>Average</t>
  </si>
  <si>
    <t>Std. error</t>
  </si>
  <si>
    <t>Location</t>
  </si>
  <si>
    <t>Site data</t>
  </si>
  <si>
    <t>Distance from Parramatta Road centre (m)</t>
  </si>
  <si>
    <t>NO2/NOx</t>
  </si>
  <si>
    <t>Location averages (values in italics ingnore non-concordant results)</t>
  </si>
  <si>
    <t>A - avg(B,C)</t>
  </si>
  <si>
    <t>B - avg(A,C)</t>
  </si>
  <si>
    <t>C - avg(A,B)</t>
  </si>
  <si>
    <t>NOx</t>
  </si>
  <si>
    <t>NO2</t>
  </si>
  <si>
    <t>Non-concordant if value &gt;</t>
  </si>
  <si>
    <t>Conversion at actual T</t>
  </si>
  <si>
    <t>Avg. temp from Concord Oval (C)</t>
  </si>
  <si>
    <t>Concordance check - ppb</t>
  </si>
  <si>
    <t>5 ppb</t>
  </si>
  <si>
    <t>Duration (h)</t>
  </si>
  <si>
    <t>Distance from Gipps St centre (m)</t>
  </si>
  <si>
    <t>North of Parramatta Rd</t>
  </si>
  <si>
    <t>South of Parramatta Rd</t>
  </si>
  <si>
    <t>N of Gipps</t>
  </si>
  <si>
    <t>S of Gipps</t>
  </si>
  <si>
    <t>Ogawa</t>
  </si>
  <si>
    <t>CLD</t>
  </si>
  <si>
    <t>St Lukes Park</t>
  </si>
  <si>
    <t>Site</t>
  </si>
  <si>
    <t>Measurement method</t>
  </si>
  <si>
    <t>Concord oval</t>
  </si>
  <si>
    <t>Difference (Ogawa-CLD)</t>
  </si>
  <si>
    <t>Ratio (Ogawa/CLD)</t>
  </si>
  <si>
    <t>Round 1</t>
  </si>
  <si>
    <t>Round 2</t>
  </si>
  <si>
    <t>-</t>
  </si>
  <si>
    <t>Round 3</t>
  </si>
  <si>
    <t>St Lukes</t>
  </si>
  <si>
    <t>Concord</t>
  </si>
  <si>
    <t>For plots - NOx</t>
  </si>
  <si>
    <t>For plots - NO2</t>
  </si>
  <si>
    <t>NOx (ppb) (raw)</t>
  </si>
  <si>
    <t>NO2 (ppb) (raw)</t>
  </si>
  <si>
    <t>Raw</t>
  </si>
  <si>
    <t>Ratio</t>
  </si>
  <si>
    <t>Blank</t>
  </si>
  <si>
    <t>1A3</t>
  </si>
  <si>
    <t>1B3</t>
  </si>
  <si>
    <t>1C3</t>
  </si>
  <si>
    <t>2A3</t>
  </si>
  <si>
    <t>2B3</t>
  </si>
  <si>
    <t>2C3</t>
  </si>
  <si>
    <t>BKA3</t>
  </si>
  <si>
    <t>BKB3</t>
  </si>
  <si>
    <t>BKC3</t>
  </si>
  <si>
    <t>Result_NO2_ppb_blank corrected</t>
  </si>
  <si>
    <t>Result_NOx_ppb_blank corrected</t>
  </si>
  <si>
    <t>Calibrated</t>
  </si>
  <si>
    <t>Calibration factors</t>
  </si>
  <si>
    <t>NOx calibration</t>
  </si>
  <si>
    <t>factor (1/slope)</t>
  </si>
  <si>
    <t>NO2 calibration</t>
  </si>
  <si>
    <t>Min NOx</t>
  </si>
  <si>
    <t>Max NOx</t>
  </si>
  <si>
    <t>Min NO2</t>
  </si>
  <si>
    <t>Max NO2</t>
  </si>
  <si>
    <t>ng</t>
  </si>
  <si>
    <t>ppb</t>
  </si>
  <si>
    <t>R1</t>
  </si>
  <si>
    <t>R2</t>
  </si>
  <si>
    <t>ug/m3</t>
  </si>
  <si>
    <t>All distance from Parramatta Rd</t>
  </si>
  <si>
    <r>
      <t>µg/m</t>
    </r>
    <r>
      <rPr>
        <vertAlign val="superscript"/>
        <sz val="11"/>
        <rFont val="Arial"/>
        <family val="2"/>
      </rPr>
      <t>3</t>
    </r>
  </si>
  <si>
    <r>
      <t>µg/m</t>
    </r>
    <r>
      <rPr>
        <i/>
        <vertAlign val="superscript"/>
        <sz val="11"/>
        <rFont val="Arial"/>
        <family val="2"/>
      </rPr>
      <t>3</t>
    </r>
  </si>
  <si>
    <t>Notes</t>
  </si>
  <si>
    <r>
      <t xml:space="preserve">NO2 (ppb) (blank subtracted) </t>
    </r>
    <r>
      <rPr>
        <b/>
        <sz val="9"/>
        <color rgb="FFFF0000"/>
        <rFont val="Arial"/>
        <family val="2"/>
      </rPr>
      <t>[Not used]</t>
    </r>
  </si>
  <si>
    <r>
      <t xml:space="preserve">NOx (ppb) (blank subtracted) </t>
    </r>
    <r>
      <rPr>
        <b/>
        <sz val="9"/>
        <color rgb="FFFF0000"/>
        <rFont val="Arial"/>
        <family val="2"/>
      </rPr>
      <t>[Not used]</t>
    </r>
  </si>
  <si>
    <r>
      <t>Blank subtracted</t>
    </r>
    <r>
      <rPr>
        <b/>
        <sz val="9"/>
        <color rgb="FFFF0000"/>
        <rFont val="Arial"/>
        <family val="2"/>
      </rPr>
      <t xml:space="preserve"> [Not used]</t>
    </r>
  </si>
  <si>
    <r>
      <rPr>
        <b/>
        <sz val="10"/>
        <color rgb="FFFF0000"/>
        <rFont val="Arial"/>
        <family val="2"/>
      </rPr>
      <t>NB</t>
    </r>
    <r>
      <rPr>
        <sz val="10"/>
        <color rgb="FFFF0000"/>
        <rFont val="Arial"/>
        <family val="2"/>
      </rPr>
      <t>: in the report a slightly different factor was used (1.225)</t>
    </r>
  </si>
  <si>
    <r>
      <rPr>
        <b/>
        <sz val="10"/>
        <color rgb="FFFF0000"/>
        <rFont val="Arial"/>
        <family val="2"/>
      </rPr>
      <t>NB</t>
    </r>
    <r>
      <rPr>
        <sz val="10"/>
        <color rgb="FFFF0000"/>
        <rFont val="Arial"/>
        <family val="2"/>
      </rPr>
      <t>: in the report a slightly different factor was used (1.677)</t>
    </r>
  </si>
  <si>
    <t>1. For the reasons described in the study report, there was no blank adjustment of the samples. Calibration was applied to raw data.</t>
  </si>
  <si>
    <t>2. As noted on the calibration sheet, there was a small error in the calculation of the calibration factors.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</si>
</sst>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[$-409]d\-mmm\-yy;@"/>
    <numFmt numFmtId="166" formatCode="h:mm:ss;@"/>
    <numFmt numFmtId="167" formatCode="0.00000000000"/>
    <numFmt numFmtId="168" formatCode="0.0000000"/>
    <numFmt numFmtId="169" formatCode="0.000"/>
  </numFmts>
  <fonts count="46" x14ac:knownFonts="1">
    <font>
      <sz val="10"/>
      <name val="MS Sans Serif"/>
      <family val="2"/>
    </font>
    <font>
      <b/>
      <sz val="10"/>
      <name val="MS Sans Serif"/>
      <family val="2"/>
    </font>
    <font>
      <b/>
      <sz val="10"/>
      <color rgb="FF0070C0"/>
      <name val="MS Sans Serif"/>
      <family val="2"/>
    </font>
    <font>
      <sz val="10"/>
      <color rgb="FF0070C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b/>
      <sz val="9"/>
      <color theme="0"/>
      <name val="Arial"/>
      <family val="2"/>
    </font>
    <font>
      <sz val="9"/>
      <color theme="8" tint="-0.499984740745262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9"/>
      <color rgb="FF00B050"/>
      <name val="Arial"/>
      <family val="2"/>
    </font>
    <font>
      <sz val="10"/>
      <name val="Arial"/>
      <family val="2"/>
    </font>
    <font>
      <b/>
      <sz val="9"/>
      <color rgb="FF7030A0"/>
      <name val="Arial"/>
      <family val="2"/>
    </font>
    <font>
      <sz val="9"/>
      <color rgb="FF7030A0"/>
      <name val="Arial"/>
      <family val="2"/>
    </font>
    <font>
      <b/>
      <sz val="9"/>
      <color theme="4" tint="-0.249977111117893"/>
      <name val="Arial"/>
      <family val="2"/>
    </font>
    <font>
      <sz val="10"/>
      <color theme="7" tint="-0.499984740745262"/>
      <name val="MS Sans Serif"/>
      <family val="2"/>
    </font>
    <font>
      <b/>
      <sz val="10"/>
      <color theme="7" tint="-0.499984740745262"/>
      <name val="MS Sans Serif"/>
      <family val="2"/>
    </font>
    <font>
      <b/>
      <sz val="10"/>
      <color theme="7" tint="-0.499984740745262"/>
      <name val="MS Sans Serif"/>
    </font>
    <font>
      <sz val="9"/>
      <color theme="5" tint="-0.249977111117893"/>
      <name val="Arial"/>
      <family val="2"/>
    </font>
    <font>
      <i/>
      <sz val="9"/>
      <name val="Arial"/>
      <family val="2"/>
    </font>
    <font>
      <sz val="9"/>
      <color theme="4" tint="-0.249977111117893"/>
      <name val="Arial"/>
      <family val="2"/>
    </font>
    <font>
      <sz val="9"/>
      <color rgb="FFFF0000"/>
      <name val="Arial"/>
      <family val="2"/>
    </font>
    <font>
      <sz val="9"/>
      <color theme="7" tint="-0.249977111117893"/>
      <name val="Arial"/>
      <family val="2"/>
    </font>
    <font>
      <sz val="9"/>
      <color theme="9" tint="-0.249977111117893"/>
      <name val="Arial"/>
      <family val="2"/>
    </font>
    <font>
      <b/>
      <i/>
      <sz val="9"/>
      <color theme="7" tint="-0.249977111117893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MS Sans Serif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Arial"/>
      <family val="2"/>
    </font>
    <font>
      <b/>
      <u/>
      <sz val="11"/>
      <name val="Arial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left" vertical="center"/>
    </xf>
    <xf numFmtId="0" fontId="10" fillId="9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0" xfId="0" quotePrefix="1" applyFont="1" applyFill="1" applyAlignment="1">
      <alignment horizontal="center" vertical="center"/>
    </xf>
    <xf numFmtId="165" fontId="4" fillId="11" borderId="0" xfId="0" quotePrefix="1" applyNumberFormat="1" applyFont="1" applyFill="1" applyAlignment="1">
      <alignment horizontal="center" vertical="center"/>
    </xf>
    <xf numFmtId="166" fontId="4" fillId="11" borderId="0" xfId="0" quotePrefix="1" applyNumberFormat="1" applyFont="1" applyFill="1" applyAlignment="1">
      <alignment horizontal="center" vertical="center"/>
    </xf>
    <xf numFmtId="164" fontId="7" fillId="11" borderId="0" xfId="0" applyNumberFormat="1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0" xfId="0" quotePrefix="1" applyFont="1" applyFill="1" applyAlignment="1">
      <alignment horizontal="center" vertical="center"/>
    </xf>
    <xf numFmtId="165" fontId="4" fillId="12" borderId="0" xfId="0" quotePrefix="1" applyNumberFormat="1" applyFont="1" applyFill="1" applyAlignment="1">
      <alignment horizontal="center" vertical="center"/>
    </xf>
    <xf numFmtId="166" fontId="4" fillId="12" borderId="0" xfId="0" quotePrefix="1" applyNumberFormat="1" applyFont="1" applyFill="1" applyAlignment="1">
      <alignment horizontal="center" vertical="center"/>
    </xf>
    <xf numFmtId="164" fontId="7" fillId="12" borderId="0" xfId="0" applyNumberFormat="1" applyFon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0" fontId="4" fillId="13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4" fillId="14" borderId="0" xfId="0" quotePrefix="1" applyFont="1" applyFill="1" applyAlignment="1">
      <alignment horizontal="center" vertical="center"/>
    </xf>
    <xf numFmtId="165" fontId="4" fillId="14" borderId="0" xfId="0" quotePrefix="1" applyNumberFormat="1" applyFont="1" applyFill="1" applyAlignment="1">
      <alignment horizontal="center" vertical="center"/>
    </xf>
    <xf numFmtId="166" fontId="4" fillId="14" borderId="0" xfId="0" quotePrefix="1" applyNumberFormat="1" applyFont="1" applyFill="1" applyAlignment="1">
      <alignment horizontal="center" vertical="center"/>
    </xf>
    <xf numFmtId="164" fontId="7" fillId="14" borderId="0" xfId="0" applyNumberFormat="1" applyFont="1" applyFill="1" applyAlignment="1">
      <alignment horizontal="center" vertical="center"/>
    </xf>
    <xf numFmtId="164" fontId="11" fillId="14" borderId="0" xfId="0" applyNumberFormat="1" applyFont="1" applyFill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5" fillId="15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1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9" fillId="12" borderId="3" xfId="0" applyNumberFormat="1" applyFont="1" applyFill="1" applyBorder="1" applyAlignment="1">
      <alignment horizontal="center" vertical="center"/>
    </xf>
    <xf numFmtId="164" fontId="9" fillId="12" borderId="4" xfId="0" applyNumberFormat="1" applyFont="1" applyFill="1" applyBorder="1" applyAlignment="1">
      <alignment horizontal="center" vertical="center"/>
    </xf>
    <xf numFmtId="164" fontId="9" fillId="11" borderId="3" xfId="0" applyNumberFormat="1" applyFont="1" applyFill="1" applyBorder="1" applyAlignment="1">
      <alignment horizontal="center" vertical="center"/>
    </xf>
    <xf numFmtId="164" fontId="9" fillId="11" borderId="4" xfId="0" applyNumberFormat="1" applyFont="1" applyFill="1" applyBorder="1" applyAlignment="1">
      <alignment horizontal="center" vertical="center"/>
    </xf>
    <xf numFmtId="164" fontId="11" fillId="14" borderId="4" xfId="0" applyNumberFormat="1" applyFont="1" applyFill="1" applyBorder="1" applyAlignment="1">
      <alignment horizontal="center" vertical="center"/>
    </xf>
    <xf numFmtId="164" fontId="11" fillId="14" borderId="3" xfId="0" applyNumberFormat="1" applyFont="1" applyFill="1" applyBorder="1" applyAlignment="1">
      <alignment horizontal="center" vertical="center"/>
    </xf>
    <xf numFmtId="164" fontId="9" fillId="12" borderId="5" xfId="0" applyNumberFormat="1" applyFont="1" applyFill="1" applyBorder="1" applyAlignment="1">
      <alignment horizontal="center" vertical="center"/>
    </xf>
    <xf numFmtId="164" fontId="9" fillId="12" borderId="6" xfId="0" applyNumberFormat="1" applyFont="1" applyFill="1" applyBorder="1" applyAlignment="1">
      <alignment horizontal="center" vertical="center"/>
    </xf>
    <xf numFmtId="1" fontId="4" fillId="12" borderId="0" xfId="0" quotePrefix="1" applyNumberFormat="1" applyFont="1" applyFill="1" applyAlignment="1">
      <alignment horizontal="center" vertical="center"/>
    </xf>
    <xf numFmtId="164" fontId="16" fillId="12" borderId="0" xfId="0" quotePrefix="1" applyNumberFormat="1" applyFont="1" applyFill="1" applyAlignment="1">
      <alignment horizontal="center" vertical="center"/>
    </xf>
    <xf numFmtId="0" fontId="4" fillId="19" borderId="0" xfId="0" applyFont="1" applyFill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164" fontId="17" fillId="0" borderId="0" xfId="0" applyNumberFormat="1" applyFont="1"/>
    <xf numFmtId="0" fontId="17" fillId="21" borderId="0" xfId="0" applyFont="1" applyFill="1"/>
    <xf numFmtId="0" fontId="17" fillId="4" borderId="0" xfId="0" applyFont="1" applyFill="1"/>
    <xf numFmtId="0" fontId="17" fillId="22" borderId="0" xfId="0" applyFont="1" applyFill="1"/>
    <xf numFmtId="0" fontId="8" fillId="7" borderId="0" xfId="0" quotePrefix="1" applyFont="1" applyFill="1" applyAlignment="1">
      <alignment horizontal="center" vertical="center"/>
    </xf>
    <xf numFmtId="0" fontId="4" fillId="23" borderId="0" xfId="0" applyFont="1" applyFill="1" applyAlignment="1">
      <alignment horizontal="center" vertical="center"/>
    </xf>
    <xf numFmtId="0" fontId="4" fillId="23" borderId="0" xfId="0" quotePrefix="1" applyFont="1" applyFill="1" applyAlignment="1">
      <alignment horizontal="center" vertical="center"/>
    </xf>
    <xf numFmtId="0" fontId="7" fillId="23" borderId="0" xfId="0" applyFont="1" applyFill="1" applyAlignment="1">
      <alignment horizontal="center" vertical="center"/>
    </xf>
    <xf numFmtId="164" fontId="4" fillId="23" borderId="0" xfId="0" applyNumberFormat="1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165" fontId="4" fillId="24" borderId="0" xfId="0" quotePrefix="1" applyNumberFormat="1" applyFont="1" applyFill="1" applyAlignment="1">
      <alignment horizontal="center" vertical="center"/>
    </xf>
    <xf numFmtId="166" fontId="4" fillId="24" borderId="0" xfId="0" quotePrefix="1" applyNumberFormat="1" applyFont="1" applyFill="1" applyAlignment="1">
      <alignment horizontal="center" vertical="center"/>
    </xf>
    <xf numFmtId="1" fontId="4" fillId="24" borderId="0" xfId="0" quotePrefix="1" applyNumberFormat="1" applyFont="1" applyFill="1" applyAlignment="1">
      <alignment horizontal="center" vertical="center"/>
    </xf>
    <xf numFmtId="164" fontId="16" fillId="24" borderId="0" xfId="0" quotePrefix="1" applyNumberFormat="1" applyFont="1" applyFill="1" applyAlignment="1">
      <alignment horizontal="center" vertical="center"/>
    </xf>
    <xf numFmtId="164" fontId="7" fillId="24" borderId="0" xfId="0" applyNumberFormat="1" applyFont="1" applyFill="1" applyAlignment="1">
      <alignment horizontal="center" vertical="center"/>
    </xf>
    <xf numFmtId="2" fontId="7" fillId="24" borderId="0" xfId="0" applyNumberFormat="1" applyFont="1" applyFill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4" fillId="22" borderId="0" xfId="0" quotePrefix="1" applyFont="1" applyFill="1" applyAlignment="1">
      <alignment horizontal="center" vertical="center"/>
    </xf>
    <xf numFmtId="165" fontId="4" fillId="22" borderId="0" xfId="0" quotePrefix="1" applyNumberFormat="1" applyFont="1" applyFill="1" applyAlignment="1">
      <alignment horizontal="center" vertical="center"/>
    </xf>
    <xf numFmtId="166" fontId="4" fillId="22" borderId="0" xfId="0" quotePrefix="1" applyNumberFormat="1" applyFont="1" applyFill="1" applyAlignment="1">
      <alignment horizontal="center" vertical="center"/>
    </xf>
    <xf numFmtId="1" fontId="4" fillId="22" borderId="0" xfId="0" quotePrefix="1" applyNumberFormat="1" applyFont="1" applyFill="1" applyAlignment="1">
      <alignment horizontal="center" vertical="center"/>
    </xf>
    <xf numFmtId="164" fontId="16" fillId="22" borderId="0" xfId="0" quotePrefix="1" applyNumberFormat="1" applyFont="1" applyFill="1" applyAlignment="1">
      <alignment horizontal="center" vertical="center"/>
    </xf>
    <xf numFmtId="164" fontId="19" fillId="12" borderId="0" xfId="0" quotePrefix="1" applyNumberFormat="1" applyFont="1" applyFill="1" applyAlignment="1">
      <alignment horizontal="center" vertical="center"/>
    </xf>
    <xf numFmtId="164" fontId="19" fillId="24" borderId="0" xfId="0" quotePrefix="1" applyNumberFormat="1" applyFont="1" applyFill="1" applyAlignment="1">
      <alignment horizontal="center" vertical="center"/>
    </xf>
    <xf numFmtId="164" fontId="7" fillId="22" borderId="0" xfId="0" applyNumberFormat="1" applyFont="1" applyFill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6" fillId="24" borderId="0" xfId="0" applyFont="1" applyFill="1" applyAlignment="1">
      <alignment horizontal="center" vertical="center"/>
    </xf>
    <xf numFmtId="2" fontId="6" fillId="24" borderId="0" xfId="0" applyNumberFormat="1" applyFont="1" applyFill="1" applyAlignment="1">
      <alignment horizontal="center" vertical="center"/>
    </xf>
    <xf numFmtId="164" fontId="9" fillId="14" borderId="3" xfId="0" applyNumberFormat="1" applyFont="1" applyFill="1" applyBorder="1" applyAlignment="1">
      <alignment horizontal="center" vertical="center"/>
    </xf>
    <xf numFmtId="164" fontId="19" fillId="14" borderId="0" xfId="0" quotePrefix="1" applyNumberFormat="1" applyFont="1" applyFill="1" applyAlignment="1">
      <alignment horizontal="center" vertical="center"/>
    </xf>
    <xf numFmtId="164" fontId="16" fillId="14" borderId="0" xfId="0" quotePrefix="1" applyNumberFormat="1" applyFont="1" applyFill="1" applyAlignment="1">
      <alignment horizontal="center" vertical="center"/>
    </xf>
    <xf numFmtId="1" fontId="4" fillId="14" borderId="0" xfId="0" quotePrefix="1" applyNumberFormat="1" applyFont="1" applyFill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quotePrefix="1" applyFont="1" applyFill="1" applyBorder="1" applyAlignment="1">
      <alignment horizontal="center" vertical="center"/>
    </xf>
    <xf numFmtId="0" fontId="18" fillId="25" borderId="23" xfId="0" quotePrefix="1" applyFont="1" applyFill="1" applyBorder="1" applyAlignment="1">
      <alignment horizontal="center" vertical="center" wrapText="1"/>
    </xf>
    <xf numFmtId="0" fontId="6" fillId="3" borderId="23" xfId="0" quotePrefix="1" applyFont="1" applyFill="1" applyBorder="1" applyAlignment="1">
      <alignment horizontal="center" vertical="center" wrapText="1"/>
    </xf>
    <xf numFmtId="0" fontId="8" fillId="5" borderId="22" xfId="0" quotePrefix="1" applyFont="1" applyFill="1" applyBorder="1" applyAlignment="1">
      <alignment horizontal="center" vertical="center"/>
    </xf>
    <xf numFmtId="0" fontId="8" fillId="5" borderId="24" xfId="0" quotePrefix="1" applyFont="1" applyFill="1" applyBorder="1" applyAlignment="1">
      <alignment horizontal="center" vertical="center"/>
    </xf>
    <xf numFmtId="0" fontId="21" fillId="0" borderId="0" xfId="0" applyFont="1"/>
    <xf numFmtId="168" fontId="21" fillId="0" borderId="0" xfId="0" applyNumberFormat="1" applyFont="1"/>
    <xf numFmtId="168" fontId="22" fillId="0" borderId="0" xfId="0" applyNumberFormat="1" applyFont="1"/>
    <xf numFmtId="0" fontId="23" fillId="0" borderId="0" xfId="0" applyFont="1"/>
    <xf numFmtId="2" fontId="0" fillId="4" borderId="0" xfId="0" applyNumberFormat="1" applyFill="1" applyAlignment="1">
      <alignment horizontal="center"/>
    </xf>
    <xf numFmtId="2" fontId="24" fillId="22" borderId="0" xfId="0" quotePrefix="1" applyNumberFormat="1" applyFont="1" applyFill="1" applyAlignment="1">
      <alignment horizontal="center" vertical="center"/>
    </xf>
    <xf numFmtId="164" fontId="9" fillId="26" borderId="1" xfId="0" applyNumberFormat="1" applyFont="1" applyFill="1" applyBorder="1" applyAlignment="1">
      <alignment horizontal="center" vertical="center"/>
    </xf>
    <xf numFmtId="164" fontId="9" fillId="26" borderId="2" xfId="0" applyNumberFormat="1" applyFont="1" applyFill="1" applyBorder="1" applyAlignment="1">
      <alignment horizontal="center" vertical="center"/>
    </xf>
    <xf numFmtId="164" fontId="9" fillId="26" borderId="3" xfId="0" applyNumberFormat="1" applyFont="1" applyFill="1" applyBorder="1" applyAlignment="1">
      <alignment horizontal="center" vertical="center"/>
    </xf>
    <xf numFmtId="164" fontId="9" fillId="26" borderId="4" xfId="0" applyNumberFormat="1" applyFont="1" applyFill="1" applyBorder="1" applyAlignment="1">
      <alignment horizontal="center" vertical="center"/>
    </xf>
    <xf numFmtId="164" fontId="9" fillId="26" borderId="5" xfId="0" applyNumberFormat="1" applyFont="1" applyFill="1" applyBorder="1" applyAlignment="1">
      <alignment horizontal="center" vertical="center"/>
    </xf>
    <xf numFmtId="164" fontId="9" fillId="26" borderId="6" xfId="0" applyNumberFormat="1" applyFont="1" applyFill="1" applyBorder="1" applyAlignment="1">
      <alignment horizontal="center" vertical="center"/>
    </xf>
    <xf numFmtId="0" fontId="25" fillId="16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164" fontId="25" fillId="16" borderId="0" xfId="0" applyNumberFormat="1" applyFont="1" applyFill="1" applyAlignment="1">
      <alignment horizontal="center" vertical="center"/>
    </xf>
    <xf numFmtId="164" fontId="26" fillId="12" borderId="0" xfId="0" quotePrefix="1" applyNumberFormat="1" applyFont="1" applyFill="1" applyAlignment="1">
      <alignment horizontal="center" vertical="center"/>
    </xf>
    <xf numFmtId="164" fontId="26" fillId="24" borderId="0" xfId="0" quotePrefix="1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10" borderId="25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0" fillId="24" borderId="0" xfId="0" applyFill="1"/>
    <xf numFmtId="0" fontId="8" fillId="7" borderId="0" xfId="0" quotePrefix="1" applyFont="1" applyFill="1" applyAlignment="1">
      <alignment horizontal="center" vertical="center"/>
    </xf>
    <xf numFmtId="164" fontId="0" fillId="4" borderId="0" xfId="0" applyNumberFormat="1" applyFill="1" applyAlignment="1">
      <alignment horizontal="center"/>
    </xf>
    <xf numFmtId="164" fontId="9" fillId="12" borderId="1" xfId="0" applyNumberFormat="1" applyFont="1" applyFill="1" applyBorder="1" applyAlignment="1">
      <alignment horizontal="center" vertical="center"/>
    </xf>
    <xf numFmtId="164" fontId="9" fillId="12" borderId="2" xfId="0" applyNumberFormat="1" applyFont="1" applyFill="1" applyBorder="1" applyAlignment="1">
      <alignment horizontal="center" vertical="center"/>
    </xf>
    <xf numFmtId="164" fontId="9" fillId="11" borderId="5" xfId="0" applyNumberFormat="1" applyFont="1" applyFill="1" applyBorder="1" applyAlignment="1">
      <alignment horizontal="center" vertical="center"/>
    </xf>
    <xf numFmtId="164" fontId="9" fillId="11" borderId="6" xfId="0" applyNumberFormat="1" applyFont="1" applyFill="1" applyBorder="1" applyAlignment="1">
      <alignment horizontal="center" vertical="center"/>
    </xf>
    <xf numFmtId="0" fontId="31" fillId="0" borderId="0" xfId="0" applyFont="1"/>
    <xf numFmtId="164" fontId="31" fillId="0" borderId="0" xfId="0" applyNumberFormat="1" applyFont="1"/>
    <xf numFmtId="0" fontId="31" fillId="0" borderId="0" xfId="0" applyFont="1" applyBorder="1"/>
    <xf numFmtId="0" fontId="33" fillId="0" borderId="0" xfId="0" applyFont="1" applyBorder="1"/>
    <xf numFmtId="164" fontId="33" fillId="0" borderId="0" xfId="0" applyNumberFormat="1" applyFont="1" applyBorder="1"/>
    <xf numFmtId="164" fontId="31" fillId="0" borderId="0" xfId="0" applyNumberFormat="1" applyFont="1" applyBorder="1"/>
    <xf numFmtId="0" fontId="5" fillId="28" borderId="0" xfId="0" applyFont="1" applyFill="1" applyAlignment="1">
      <alignment horizontal="center" vertical="center"/>
    </xf>
    <xf numFmtId="0" fontId="17" fillId="29" borderId="0" xfId="0" applyFont="1" applyFill="1" applyBorder="1"/>
    <xf numFmtId="0" fontId="32" fillId="25" borderId="29" xfId="0" applyFont="1" applyFill="1" applyBorder="1" applyAlignment="1">
      <alignment horizontal="center" vertical="center"/>
    </xf>
    <xf numFmtId="0" fontId="32" fillId="25" borderId="30" xfId="0" applyFont="1" applyFill="1" applyBorder="1" applyAlignment="1">
      <alignment horizontal="center" vertical="center"/>
    </xf>
    <xf numFmtId="0" fontId="17" fillId="25" borderId="30" xfId="0" applyFont="1" applyFill="1" applyBorder="1" applyAlignment="1">
      <alignment horizontal="center" vertical="center"/>
    </xf>
    <xf numFmtId="169" fontId="35" fillId="25" borderId="31" xfId="0" applyNumberFormat="1" applyFont="1" applyFill="1" applyBorder="1" applyAlignment="1">
      <alignment horizontal="center" vertical="center"/>
    </xf>
    <xf numFmtId="0" fontId="0" fillId="0" borderId="0" xfId="0" applyFill="1"/>
    <xf numFmtId="0" fontId="37" fillId="0" borderId="0" xfId="0" applyFont="1"/>
    <xf numFmtId="2" fontId="0" fillId="0" borderId="0" xfId="0" applyNumberFormat="1"/>
    <xf numFmtId="164" fontId="4" fillId="22" borderId="0" xfId="0" applyNumberFormat="1" applyFont="1" applyFill="1" applyBorder="1" applyAlignment="1">
      <alignment horizontal="center" vertical="center"/>
    </xf>
    <xf numFmtId="164" fontId="4" fillId="22" borderId="26" xfId="0" applyNumberFormat="1" applyFont="1" applyFill="1" applyBorder="1" applyAlignment="1">
      <alignment horizontal="center" vertical="center"/>
    </xf>
    <xf numFmtId="0" fontId="1" fillId="31" borderId="0" xfId="0" quotePrefix="1" applyFont="1" applyFill="1" applyAlignment="1">
      <alignment horizontal="center"/>
    </xf>
    <xf numFmtId="0" fontId="2" fillId="31" borderId="0" xfId="0" quotePrefix="1" applyFont="1" applyFill="1" applyAlignment="1">
      <alignment horizontal="center"/>
    </xf>
    <xf numFmtId="0" fontId="39" fillId="10" borderId="1" xfId="0" applyFont="1" applyFill="1" applyBorder="1" applyAlignment="1">
      <alignment horizontal="left" vertical="center"/>
    </xf>
    <xf numFmtId="0" fontId="40" fillId="0" borderId="0" xfId="0" applyFont="1"/>
    <xf numFmtId="0" fontId="38" fillId="20" borderId="0" xfId="0" applyFont="1" applyFill="1" applyAlignment="1">
      <alignment horizontal="center" vertical="center"/>
    </xf>
    <xf numFmtId="0" fontId="38" fillId="20" borderId="0" xfId="0" applyFont="1" applyFill="1" applyBorder="1" applyAlignment="1">
      <alignment horizontal="center" vertical="center"/>
    </xf>
    <xf numFmtId="0" fontId="40" fillId="0" borderId="15" xfId="0" applyFont="1" applyBorder="1"/>
    <xf numFmtId="0" fontId="40" fillId="0" borderId="16" xfId="0" applyFont="1" applyBorder="1"/>
    <xf numFmtId="164" fontId="40" fillId="27" borderId="12" xfId="0" applyNumberFormat="1" applyFont="1" applyFill="1" applyBorder="1" applyAlignment="1">
      <alignment horizontal="center" vertical="center"/>
    </xf>
    <xf numFmtId="0" fontId="40" fillId="0" borderId="18" xfId="0" applyFont="1" applyBorder="1"/>
    <xf numFmtId="0" fontId="40" fillId="0" borderId="19" xfId="0" applyFont="1" applyBorder="1"/>
    <xf numFmtId="164" fontId="40" fillId="27" borderId="17" xfId="0" applyNumberFormat="1" applyFont="1" applyFill="1" applyBorder="1" applyAlignment="1">
      <alignment horizontal="center" vertical="center"/>
    </xf>
    <xf numFmtId="164" fontId="40" fillId="17" borderId="17" xfId="0" applyNumberFormat="1" applyFont="1" applyFill="1" applyBorder="1" applyAlignment="1">
      <alignment horizontal="center" vertical="center"/>
    </xf>
    <xf numFmtId="0" fontId="42" fillId="0" borderId="18" xfId="0" applyFont="1" applyBorder="1"/>
    <xf numFmtId="0" fontId="42" fillId="0" borderId="19" xfId="0" applyFont="1" applyBorder="1"/>
    <xf numFmtId="164" fontId="42" fillId="0" borderId="17" xfId="0" applyNumberFormat="1" applyFont="1" applyBorder="1" applyAlignment="1">
      <alignment horizontal="center" vertical="center"/>
    </xf>
    <xf numFmtId="164" fontId="42" fillId="17" borderId="17" xfId="0" applyNumberFormat="1" applyFont="1" applyFill="1" applyBorder="1" applyAlignment="1">
      <alignment horizontal="center" vertical="center"/>
    </xf>
    <xf numFmtId="0" fontId="42" fillId="0" borderId="13" xfId="0" applyFont="1" applyBorder="1"/>
    <xf numFmtId="0" fontId="42" fillId="0" borderId="14" xfId="0" quotePrefix="1" applyFont="1" applyBorder="1"/>
    <xf numFmtId="2" fontId="42" fillId="0" borderId="10" xfId="0" applyNumberFormat="1" applyFont="1" applyBorder="1" applyAlignment="1">
      <alignment horizontal="center" vertical="center"/>
    </xf>
    <xf numFmtId="164" fontId="42" fillId="17" borderId="10" xfId="0" applyNumberFormat="1" applyFont="1" applyFill="1" applyBorder="1" applyAlignment="1">
      <alignment horizontal="center" vertical="center"/>
    </xf>
    <xf numFmtId="0" fontId="40" fillId="0" borderId="27" xfId="0" applyFont="1" applyBorder="1"/>
    <xf numFmtId="0" fontId="40" fillId="0" borderId="28" xfId="0" applyFont="1" applyBorder="1"/>
    <xf numFmtId="164" fontId="40" fillId="17" borderId="28" xfId="0" applyNumberFormat="1" applyFont="1" applyFill="1" applyBorder="1" applyAlignment="1">
      <alignment horizontal="center" vertical="center"/>
    </xf>
    <xf numFmtId="164" fontId="40" fillId="17" borderId="19" xfId="0" applyNumberFormat="1" applyFont="1" applyFill="1" applyBorder="1" applyAlignment="1">
      <alignment horizontal="center" vertical="center"/>
    </xf>
    <xf numFmtId="164" fontId="42" fillId="0" borderId="21" xfId="0" applyNumberFormat="1" applyFont="1" applyBorder="1" applyAlignment="1">
      <alignment horizontal="center" vertical="center"/>
    </xf>
    <xf numFmtId="2" fontId="42" fillId="0" borderId="9" xfId="0" applyNumberFormat="1" applyFont="1" applyBorder="1" applyAlignment="1">
      <alignment horizontal="center" vertical="center"/>
    </xf>
    <xf numFmtId="0" fontId="44" fillId="24" borderId="0" xfId="0" applyFont="1" applyFill="1"/>
    <xf numFmtId="0" fontId="17" fillId="24" borderId="0" xfId="0" applyFont="1" applyFill="1"/>
    <xf numFmtId="0" fontId="5" fillId="18" borderId="23" xfId="0" quotePrefix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30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38" fillId="20" borderId="0" xfId="0" applyFont="1" applyFill="1" applyAlignment="1">
      <alignment horizontal="center" vertical="center"/>
    </xf>
    <xf numFmtId="0" fontId="38" fillId="20" borderId="11" xfId="0" applyFont="1" applyFill="1" applyBorder="1" applyAlignment="1">
      <alignment horizontal="center" vertical="center"/>
    </xf>
    <xf numFmtId="0" fontId="38" fillId="20" borderId="0" xfId="0" quotePrefix="1" applyFont="1" applyFill="1" applyAlignment="1">
      <alignment horizontal="center" vertical="center"/>
    </xf>
    <xf numFmtId="0" fontId="40" fillId="17" borderId="7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17" borderId="8" xfId="0" applyFont="1" applyFill="1" applyBorder="1" applyAlignment="1">
      <alignment horizontal="center" vertical="center"/>
    </xf>
    <xf numFmtId="0" fontId="36" fillId="21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8" fillId="7" borderId="0" xfId="0" quotePrefix="1" applyFont="1" applyFill="1" applyAlignment="1">
      <alignment horizontal="center" vertical="center"/>
    </xf>
    <xf numFmtId="0" fontId="5" fillId="29" borderId="0" xfId="0" applyFont="1" applyFill="1" applyAlignment="1">
      <alignment horizontal="center" vertical="center"/>
    </xf>
    <xf numFmtId="0" fontId="5" fillId="16" borderId="22" xfId="0" applyFont="1" applyFill="1" applyBorder="1" applyAlignment="1">
      <alignment horizontal="center" vertical="center"/>
    </xf>
    <xf numFmtId="0" fontId="5" fillId="16" borderId="23" xfId="0" applyFont="1" applyFill="1" applyBorder="1" applyAlignment="1">
      <alignment horizontal="center" vertical="center"/>
    </xf>
    <xf numFmtId="0" fontId="5" fillId="16" borderId="24" xfId="0" applyFont="1" applyFill="1" applyBorder="1" applyAlignment="1">
      <alignment horizontal="center" vertical="center"/>
    </xf>
    <xf numFmtId="2" fontId="18" fillId="16" borderId="3" xfId="0" applyNumberFormat="1" applyFont="1" applyFill="1" applyBorder="1" applyAlignment="1">
      <alignment horizontal="center" vertical="center"/>
    </xf>
    <xf numFmtId="2" fontId="18" fillId="16" borderId="4" xfId="0" applyNumberFormat="1" applyFont="1" applyFill="1" applyBorder="1" applyAlignment="1">
      <alignment horizontal="center" vertical="center"/>
    </xf>
    <xf numFmtId="2" fontId="20" fillId="16" borderId="3" xfId="0" applyNumberFormat="1" applyFont="1" applyFill="1" applyBorder="1" applyAlignment="1">
      <alignment horizontal="center" vertical="center"/>
    </xf>
    <xf numFmtId="2" fontId="20" fillId="16" borderId="4" xfId="0" applyNumberFormat="1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169" fontId="34" fillId="0" borderId="32" xfId="0" applyNumberFormat="1" applyFont="1" applyBorder="1" applyAlignment="1">
      <alignment horizontal="center" vertical="center"/>
    </xf>
    <xf numFmtId="169" fontId="34" fillId="0" borderId="33" xfId="0" applyNumberFormat="1" applyFont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A3A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A3A3"/>
        </patternFill>
      </fill>
    </dxf>
    <dxf>
      <fill>
        <patternFill>
          <bgColor rgb="FFFFB3B3"/>
        </patternFill>
      </fill>
    </dxf>
    <dxf>
      <fill>
        <patternFill>
          <bgColor rgb="FFFFA3A3"/>
        </patternFill>
      </fill>
    </dxf>
  </dxfs>
  <tableStyles count="0" defaultTableStyle="TableStyleMedium2" defaultPivotStyle="PivotStyleLight16"/>
  <colors>
    <mruColors>
      <color rgb="FFFFCC66"/>
      <color rgb="FFCC3399"/>
      <color rgb="FFFF99FF"/>
      <color rgb="FFCCCCFF"/>
      <color rgb="FFFF8989"/>
      <color rgb="FFFFB3B3"/>
      <color rgb="FFFFA3A3"/>
      <color rgb="FF684FFB"/>
      <color rgb="FF5F2C09"/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82172961435226"/>
          <c:y val="8.5924575217571478E-2"/>
          <c:w val="0.75879680564371021"/>
          <c:h val="0.76332482387070033"/>
        </c:manualLayout>
      </c:layout>
      <c:scatterChart>
        <c:scatterStyle val="lineMarker"/>
        <c:varyColors val="0"/>
        <c:ser>
          <c:idx val="0"/>
          <c:order val="0"/>
          <c:tx>
            <c:v>All</c:v>
          </c:tx>
          <c:spPr>
            <a:ln w="22225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chemeClr val="accent1"/>
              </a:solidFill>
              <a:ln w="9525">
                <a:solidFill>
                  <a:schemeClr val="tx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backward val="18"/>
            <c:intercept val="0"/>
            <c:dispRSqr val="1"/>
            <c:dispEq val="1"/>
            <c:trendlineLbl>
              <c:layout>
                <c:manualLayout>
                  <c:x val="0.10721539799305858"/>
                  <c:y val="0.4599051802735184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Calibration!$C$39:$C$45</c:f>
              <c:numCache>
                <c:formatCode>0.0</c:formatCode>
                <c:ptCount val="7"/>
                <c:pt idx="0">
                  <c:v>18.13364259013068</c:v>
                </c:pt>
                <c:pt idx="1">
                  <c:v>21.905255483834559</c:v>
                </c:pt>
                <c:pt idx="2">
                  <c:v>23.701056004425016</c:v>
                </c:pt>
                <c:pt idx="4">
                  <c:v>37.651072093277705</c:v>
                </c:pt>
                <c:pt idx="5">
                  <c:v>66.137791996550504</c:v>
                </c:pt>
                <c:pt idx="6">
                  <c:v>66.976054878478877</c:v>
                </c:pt>
              </c:numCache>
            </c:numRef>
          </c:xVal>
          <c:yVal>
            <c:numRef>
              <c:f>Calibration!$B$39:$B$45</c:f>
              <c:numCache>
                <c:formatCode>0.0</c:formatCode>
                <c:ptCount val="7"/>
                <c:pt idx="0">
                  <c:v>20.163319316425376</c:v>
                </c:pt>
                <c:pt idx="1">
                  <c:v>22.524914924487717</c:v>
                </c:pt>
                <c:pt idx="2">
                  <c:v>25.526830964102249</c:v>
                </c:pt>
                <c:pt idx="4">
                  <c:v>38.044324668148505</c:v>
                </c:pt>
                <c:pt idx="5">
                  <c:v>53.042393399532216</c:v>
                </c:pt>
                <c:pt idx="6">
                  <c:v>50.041012514796726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5E-4FBD-BE5D-5F1A41B6C8FB}"/>
            </c:ext>
          </c:extLst>
        </c:ser>
        <c:ser>
          <c:idx val="1"/>
          <c:order val="1"/>
          <c:tx>
            <c:v>St Lukes Park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15875">
                <a:solidFill>
                  <a:schemeClr val="accent2">
                    <a:lumMod val="50000"/>
                  </a:schemeClr>
                </a:solidFill>
                <a:round/>
              </a:ln>
              <a:effectLst/>
            </c:spPr>
          </c:marker>
          <c:dPt>
            <c:idx val="10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25E-4FBD-BE5D-5F1A41B6C8FB}"/>
              </c:ext>
            </c:extLst>
          </c:dPt>
          <c:dPt>
            <c:idx val="11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25E-4FBD-BE5D-5F1A41B6C8FB}"/>
              </c:ext>
            </c:extLst>
          </c:dPt>
          <c:dPt>
            <c:idx val="12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425E-4FBD-BE5D-5F1A41B6C8FB}"/>
              </c:ext>
            </c:extLst>
          </c:dPt>
          <c:dPt>
            <c:idx val="13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25E-4FBD-BE5D-5F1A41B6C8FB}"/>
              </c:ext>
            </c:extLst>
          </c:dPt>
          <c:dPt>
            <c:idx val="14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25E-4FBD-BE5D-5F1A41B6C8FB}"/>
              </c:ext>
            </c:extLst>
          </c:dPt>
          <c:dPt>
            <c:idx val="15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425E-4FBD-BE5D-5F1A41B6C8FB}"/>
              </c:ext>
            </c:extLst>
          </c:dPt>
          <c:xVal>
            <c:numRef>
              <c:f>Calibration!$C$39:$C$41</c:f>
              <c:numCache>
                <c:formatCode>0.0</c:formatCode>
                <c:ptCount val="3"/>
                <c:pt idx="0">
                  <c:v>18.13364259013068</c:v>
                </c:pt>
                <c:pt idx="1">
                  <c:v>21.905255483834559</c:v>
                </c:pt>
                <c:pt idx="2">
                  <c:v>23.701056004425016</c:v>
                </c:pt>
              </c:numCache>
            </c:numRef>
          </c:xVal>
          <c:yVal>
            <c:numRef>
              <c:f>Calibration!$B$39:$B$41</c:f>
              <c:numCache>
                <c:formatCode>0.0</c:formatCode>
                <c:ptCount val="3"/>
                <c:pt idx="0">
                  <c:v>20.163319316425376</c:v>
                </c:pt>
                <c:pt idx="1">
                  <c:v>22.524914924487717</c:v>
                </c:pt>
                <c:pt idx="2">
                  <c:v>25.526830964102249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5E-4FBD-BE5D-5F1A41B6C8FB}"/>
            </c:ext>
          </c:extLst>
        </c:ser>
        <c:ser>
          <c:idx val="2"/>
          <c:order val="2"/>
          <c:tx>
            <c:v>Concord Oval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Calibration!$C$43:$C$45</c:f>
              <c:numCache>
                <c:formatCode>0.0</c:formatCode>
                <c:ptCount val="3"/>
                <c:pt idx="0">
                  <c:v>37.651072093277705</c:v>
                </c:pt>
                <c:pt idx="1">
                  <c:v>66.137791996550504</c:v>
                </c:pt>
                <c:pt idx="2">
                  <c:v>66.976054878478877</c:v>
                </c:pt>
              </c:numCache>
            </c:numRef>
          </c:xVal>
          <c:yVal>
            <c:numRef>
              <c:f>Calibration!$B$43:$B$45</c:f>
              <c:numCache>
                <c:formatCode>0.0</c:formatCode>
                <c:ptCount val="3"/>
                <c:pt idx="0">
                  <c:v>38.044324668148505</c:v>
                </c:pt>
                <c:pt idx="1">
                  <c:v>53.042393399532216</c:v>
                </c:pt>
                <c:pt idx="2">
                  <c:v>50.041012514796726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5E-4FBD-BE5D-5F1A41B6C8FB}"/>
            </c:ext>
          </c:extLst>
        </c:ser>
        <c:ser>
          <c:idx val="3"/>
          <c:order val="3"/>
          <c:tx>
            <c:v>1:1</c:v>
          </c:tx>
          <c:spPr>
            <a:ln w="254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" cap="rnd">
                <a:solidFill>
                  <a:schemeClr val="bg1">
                    <a:lumMod val="5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425E-4FBD-BE5D-5F1A41B6C8FB}"/>
              </c:ext>
            </c:extLst>
          </c:dPt>
          <c:xVal>
            <c:numRef>
              <c:f>Calibration!$AY$4:$AZ$4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xVal>
          <c:yVal>
            <c:numRef>
              <c:f>Calibration!$AY$4:$AZ$4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25E-4FBD-BE5D-5F1A41B6C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26008"/>
        <c:axId val="430626400"/>
        <c:extLst/>
      </c:scatterChart>
      <c:valAx>
        <c:axId val="430626008"/>
        <c:scaling>
          <c:orientation val="minMax"/>
          <c:max val="8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NO</a:t>
                </a:r>
                <a:r>
                  <a:rPr lang="en-GB" sz="1400" cap="none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(reference) (</a:t>
                </a:r>
                <a:r>
                  <a:rPr lang="en-GB" sz="1400" b="0" i="0" u="none" strike="noStrike" cap="none" baseline="0">
                    <a:effectLst/>
                  </a:rPr>
                  <a:t>µg/m</a:t>
                </a:r>
                <a:r>
                  <a:rPr lang="en-GB" sz="1400" b="0" i="0" u="none" strike="noStrike" cap="none" baseline="30000">
                    <a:effectLst/>
                  </a:rPr>
                  <a:t>3</a:t>
                </a: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859525183816867"/>
              <c:y val="0.92040563613758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0626400"/>
        <c:crosses val="autoZero"/>
        <c:crossBetween val="midCat"/>
      </c:valAx>
      <c:valAx>
        <c:axId val="430626400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NO</a:t>
                </a:r>
                <a:r>
                  <a:rPr lang="en-GB" sz="1400" cap="none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(Ogawa, raw) (µg/m</a:t>
                </a:r>
                <a:r>
                  <a:rPr lang="en-GB" sz="1400" cap="none" baseline="30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</a:t>
                </a: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7589190157414396E-2"/>
              <c:y val="0.300452880232076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0626008"/>
        <c:crosses val="autoZero"/>
        <c:crossBetween val="midCat"/>
        <c:minorUnit val="2"/>
      </c:valAx>
      <c:spPr>
        <a:solidFill>
          <a:schemeClr val="bg1">
            <a:lumMod val="9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8468836275311792"/>
          <c:y val="0.10903356817239951"/>
          <c:w val="0.23162992026689727"/>
          <c:h val="0.10853012847078326"/>
        </c:manualLayout>
      </c:layout>
      <c:overlay val="0"/>
      <c:spPr>
        <a:solidFill>
          <a:sysClr val="window" lastClr="FFFFFF"/>
        </a:solidFill>
        <a:ln w="3175">
          <a:solidFill>
            <a:schemeClr val="bg2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82172961435226"/>
          <c:y val="8.5924575217571478E-2"/>
          <c:w val="0.75879680564371021"/>
          <c:h val="0.76332482387070033"/>
        </c:manualLayout>
      </c:layout>
      <c:scatterChart>
        <c:scatterStyle val="lineMarker"/>
        <c:varyColors val="0"/>
        <c:ser>
          <c:idx val="0"/>
          <c:order val="0"/>
          <c:tx>
            <c:v>All</c:v>
          </c:tx>
          <c:spPr>
            <a:ln w="22225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chemeClr val="accent1"/>
              </a:solidFill>
              <a:ln w="9525">
                <a:solidFill>
                  <a:schemeClr val="tx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backward val="18"/>
            <c:intercept val="0"/>
            <c:dispRSqr val="1"/>
            <c:dispEq val="1"/>
            <c:trendlineLbl>
              <c:layout>
                <c:manualLayout>
                  <c:x val="0.20563646150247131"/>
                  <c:y val="0.25898748445917946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Calibration!$C$51:$C$57</c:f>
              <c:numCache>
                <c:formatCode>0.0</c:formatCode>
                <c:ptCount val="7"/>
                <c:pt idx="0">
                  <c:v>13.72099200202846</c:v>
                </c:pt>
                <c:pt idx="1">
                  <c:v>15.645836074778327</c:v>
                </c:pt>
                <c:pt idx="2">
                  <c:v>14.653575869823241</c:v>
                </c:pt>
                <c:pt idx="4">
                  <c:v>14.208339274098583</c:v>
                </c:pt>
                <c:pt idx="5">
                  <c:v>24.619779451439381</c:v>
                </c:pt>
                <c:pt idx="6">
                  <c:v>24.762284728806133</c:v>
                </c:pt>
              </c:numCache>
            </c:numRef>
          </c:xVal>
          <c:yVal>
            <c:numRef>
              <c:f>Calibration!$B$51:$B$57</c:f>
              <c:numCache>
                <c:formatCode>0.0</c:formatCode>
                <c:ptCount val="7"/>
                <c:pt idx="0">
                  <c:v>5.6137203391817785</c:v>
                </c:pt>
                <c:pt idx="1">
                  <c:v>6.0830938134278654</c:v>
                </c:pt>
                <c:pt idx="2">
                  <c:v>9.2594018845883124</c:v>
                </c:pt>
                <c:pt idx="4">
                  <c:v>10.319711299146563</c:v>
                </c:pt>
                <c:pt idx="5">
                  <c:v>13.5493792300144</c:v>
                </c:pt>
                <c:pt idx="6">
                  <c:v>18.598343676139574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A3-4143-B930-8F1EFAA98F4B}"/>
            </c:ext>
          </c:extLst>
        </c:ser>
        <c:ser>
          <c:idx val="1"/>
          <c:order val="1"/>
          <c:tx>
            <c:v>St Lukes Park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15875">
                <a:solidFill>
                  <a:schemeClr val="accent2">
                    <a:lumMod val="50000"/>
                  </a:schemeClr>
                </a:solidFill>
                <a:round/>
              </a:ln>
              <a:effectLst/>
            </c:spPr>
          </c:marker>
          <c:dPt>
            <c:idx val="10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6A3-4143-B930-8F1EFAA98F4B}"/>
              </c:ext>
            </c:extLst>
          </c:dPt>
          <c:dPt>
            <c:idx val="11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6A3-4143-B930-8F1EFAA98F4B}"/>
              </c:ext>
            </c:extLst>
          </c:dPt>
          <c:dPt>
            <c:idx val="12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6A3-4143-B930-8F1EFAA98F4B}"/>
              </c:ext>
            </c:extLst>
          </c:dPt>
          <c:dPt>
            <c:idx val="13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6A3-4143-B930-8F1EFAA98F4B}"/>
              </c:ext>
            </c:extLst>
          </c:dPt>
          <c:dPt>
            <c:idx val="14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6A3-4143-B930-8F1EFAA98F4B}"/>
              </c:ext>
            </c:extLst>
          </c:dPt>
          <c:dPt>
            <c:idx val="15"/>
            <c:marker>
              <c:symbol val="circle"/>
              <c:size val="8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15875">
                  <a:solidFill>
                    <a:schemeClr val="accent2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6A3-4143-B930-8F1EFAA98F4B}"/>
              </c:ext>
            </c:extLst>
          </c:dPt>
          <c:xVal>
            <c:numRef>
              <c:f>Calibration!$C$51:$C$53</c:f>
              <c:numCache>
                <c:formatCode>0.0</c:formatCode>
                <c:ptCount val="3"/>
                <c:pt idx="0">
                  <c:v>13.72099200202846</c:v>
                </c:pt>
                <c:pt idx="1">
                  <c:v>15.645836074778327</c:v>
                </c:pt>
                <c:pt idx="2">
                  <c:v>14.653575869823241</c:v>
                </c:pt>
              </c:numCache>
            </c:numRef>
          </c:xVal>
          <c:yVal>
            <c:numRef>
              <c:f>Calibration!$B$51:$B$53</c:f>
              <c:numCache>
                <c:formatCode>0.0</c:formatCode>
                <c:ptCount val="3"/>
                <c:pt idx="0">
                  <c:v>5.6137203391817785</c:v>
                </c:pt>
                <c:pt idx="1">
                  <c:v>6.0830938134278654</c:v>
                </c:pt>
                <c:pt idx="2">
                  <c:v>9.2594018845883124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A3-4143-B930-8F1EFAA98F4B}"/>
            </c:ext>
          </c:extLst>
        </c:ser>
        <c:ser>
          <c:idx val="2"/>
          <c:order val="2"/>
          <c:tx>
            <c:v>Concord Oval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Calibration!$C$55:$C$57</c:f>
              <c:numCache>
                <c:formatCode>0.0</c:formatCode>
                <c:ptCount val="3"/>
                <c:pt idx="0">
                  <c:v>14.208339274098583</c:v>
                </c:pt>
                <c:pt idx="1">
                  <c:v>24.619779451439381</c:v>
                </c:pt>
                <c:pt idx="2">
                  <c:v>24.762284728806133</c:v>
                </c:pt>
              </c:numCache>
            </c:numRef>
          </c:xVal>
          <c:yVal>
            <c:numRef>
              <c:f>Calibration!$B$55:$B$57</c:f>
              <c:numCache>
                <c:formatCode>0.0</c:formatCode>
                <c:ptCount val="3"/>
                <c:pt idx="0">
                  <c:v>10.319711299146563</c:v>
                </c:pt>
                <c:pt idx="1">
                  <c:v>13.5493792300144</c:v>
                </c:pt>
                <c:pt idx="2">
                  <c:v>18.598343676139574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A3-4143-B930-8F1EFAA98F4B}"/>
            </c:ext>
          </c:extLst>
        </c:ser>
        <c:ser>
          <c:idx val="3"/>
          <c:order val="3"/>
          <c:tx>
            <c:v>1:1</c:v>
          </c:tx>
          <c:spPr>
            <a:ln w="254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" cap="rnd">
                <a:solidFill>
                  <a:schemeClr val="bg1">
                    <a:lumMod val="5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6A3-4143-B930-8F1EFAA98F4B}"/>
              </c:ext>
            </c:extLst>
          </c:dPt>
          <c:xVal>
            <c:numRef>
              <c:f>Calibration!$AY$4:$AZ$4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xVal>
          <c:yVal>
            <c:numRef>
              <c:f>Calibration!$AY$4:$AZ$4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6A3-4143-B930-8F1EFAA98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27184"/>
        <c:axId val="430627576"/>
        <c:extLst/>
      </c:scatterChart>
      <c:valAx>
        <c:axId val="430627184"/>
        <c:scaling>
          <c:orientation val="minMax"/>
          <c:max val="35"/>
          <c:min val="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NO</a:t>
                </a:r>
                <a:r>
                  <a:rPr lang="en-GB" sz="1400" cap="none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(reference) (</a:t>
                </a:r>
                <a:r>
                  <a:rPr lang="en-GB" sz="1400" b="0" i="0" u="none" strike="noStrike" cap="none" baseline="0">
                    <a:effectLst/>
                  </a:rPr>
                  <a:t>µg/m</a:t>
                </a:r>
                <a:r>
                  <a:rPr lang="en-GB" sz="1400" b="0" i="0" u="none" strike="noStrike" cap="none" baseline="30000">
                    <a:effectLst/>
                  </a:rPr>
                  <a:t>3</a:t>
                </a: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859525183816867"/>
              <c:y val="0.92040563613758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0627576"/>
        <c:crosses val="autoZero"/>
        <c:crossBetween val="midCat"/>
        <c:majorUnit val="5"/>
      </c:valAx>
      <c:valAx>
        <c:axId val="430627576"/>
        <c:scaling>
          <c:orientation val="minMax"/>
          <c:max val="35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NO</a:t>
                </a:r>
                <a:r>
                  <a:rPr lang="en-GB" sz="1400" cap="none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(Ogawa, raw) (µg/m</a:t>
                </a:r>
                <a:r>
                  <a:rPr lang="en-GB" sz="1400" cap="none" baseline="30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</a:t>
                </a:r>
                <a:r>
                  <a:rPr lang="en-GB" sz="14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7589190157414396E-2"/>
              <c:y val="0.300452880232076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0627184"/>
        <c:crosses val="autoZero"/>
        <c:crossBetween val="midCat"/>
        <c:minorUnit val="1"/>
      </c:valAx>
      <c:spPr>
        <a:solidFill>
          <a:schemeClr val="bg1">
            <a:lumMod val="9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8468836275311792"/>
          <c:y val="0.10903356817239951"/>
          <c:w val="0.26942489066239972"/>
          <c:h val="0.12088023207625363"/>
        </c:manualLayout>
      </c:layout>
      <c:overlay val="0"/>
      <c:spPr>
        <a:solidFill>
          <a:sysClr val="window" lastClr="FFFFFF"/>
        </a:solidFill>
        <a:ln w="3175">
          <a:solidFill>
            <a:schemeClr val="bg2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0" cap="none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Round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250218722659669E-2"/>
          <c:y val="0.1054556381386906"/>
          <c:w val="0.84438874307378242"/>
          <c:h val="0.74690901955012634"/>
        </c:manualLayout>
      </c:layout>
      <c:lineChart>
        <c:grouping val="standard"/>
        <c:varyColors val="0"/>
        <c:ser>
          <c:idx val="1"/>
          <c:order val="0"/>
          <c:tx>
            <c:v>NOx</c:v>
          </c:tx>
          <c:spPr>
            <a:ln w="222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40000"/>
                  <a:lumOff val="60000"/>
                  <a:alpha val="6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AEA-4893-9C53-AF5E342BCBE2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AEA-4893-9C53-AF5E342BCBE2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AEA-4893-9C53-AF5E342BCBE2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4AEA-4893-9C53-AF5E342BCBE2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AEA-4893-9C53-AF5E342BCBE2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AEA-4893-9C53-AF5E342BCBE2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'Final measured'!#REF!</c:f>
                <c:numCache>
                  <c:formatCode>General</c:formatCode>
                  <c:ptCount val="17"/>
                  <c:pt idx="0">
                    <c:v>0.81338777798482864</c:v>
                  </c:pt>
                  <c:pt idx="1">
                    <c:v>0.33108504127578869</c:v>
                  </c:pt>
                  <c:pt idx="2">
                    <c:v>0.4082897848007217</c:v>
                  </c:pt>
                  <c:pt idx="3">
                    <c:v>0.72439256970140564</c:v>
                  </c:pt>
                  <c:pt idx="4">
                    <c:v>4.9832075903468001</c:v>
                  </c:pt>
                  <c:pt idx="5">
                    <c:v>2.0039938105524171</c:v>
                  </c:pt>
                  <c:pt idx="6">
                    <c:v>0.1442016761622528</c:v>
                  </c:pt>
                  <c:pt idx="7">
                    <c:v>1.7519884881101058</c:v>
                  </c:pt>
                  <c:pt idx="8">
                    <c:v>0.93207249329686026</c:v>
                  </c:pt>
                  <c:pt idx="9">
                    <c:v>2.4694176266788759</c:v>
                  </c:pt>
                  <c:pt idx="10">
                    <c:v>0.81963515050037827</c:v>
                  </c:pt>
                  <c:pt idx="11">
                    <c:v>0.24707024948949094</c:v>
                  </c:pt>
                  <c:pt idx="12">
                    <c:v>0.2616261338893997</c:v>
                  </c:pt>
                  <c:pt idx="13">
                    <c:v>2.3845046684056577</c:v>
                  </c:pt>
                  <c:pt idx="14">
                    <c:v>1.2736036438827407</c:v>
                  </c:pt>
                  <c:pt idx="15">
                    <c:v>0.58462208835906404</c:v>
                  </c:pt>
                  <c:pt idx="16">
                    <c:v>0.24257249659587504</c:v>
                  </c:pt>
                </c:numCache>
              </c:numRef>
            </c:plus>
            <c:minus>
              <c:numRef>
                <c:f>'Final measured'!#REF!</c:f>
                <c:numCache>
                  <c:formatCode>General</c:formatCode>
                  <c:ptCount val="17"/>
                  <c:pt idx="0">
                    <c:v>0.81338777798482864</c:v>
                  </c:pt>
                  <c:pt idx="1">
                    <c:v>0.33108504127578869</c:v>
                  </c:pt>
                  <c:pt idx="2">
                    <c:v>0.4082897848007217</c:v>
                  </c:pt>
                  <c:pt idx="3">
                    <c:v>0.72439256970140564</c:v>
                  </c:pt>
                  <c:pt idx="4">
                    <c:v>4.9832075903468001</c:v>
                  </c:pt>
                  <c:pt idx="5">
                    <c:v>2.0039938105524171</c:v>
                  </c:pt>
                  <c:pt idx="6">
                    <c:v>0.1442016761622528</c:v>
                  </c:pt>
                  <c:pt idx="7">
                    <c:v>1.7519884881101058</c:v>
                  </c:pt>
                  <c:pt idx="8">
                    <c:v>0.93207249329686026</c:v>
                  </c:pt>
                  <c:pt idx="9">
                    <c:v>2.4694176266788759</c:v>
                  </c:pt>
                  <c:pt idx="10">
                    <c:v>0.81963515050037827</c:v>
                  </c:pt>
                  <c:pt idx="11">
                    <c:v>0.24707024948949094</c:v>
                  </c:pt>
                  <c:pt idx="12">
                    <c:v>0.2616261338893997</c:v>
                  </c:pt>
                  <c:pt idx="13">
                    <c:v>2.3845046684056577</c:v>
                  </c:pt>
                  <c:pt idx="14">
                    <c:v>1.2736036438827407</c:v>
                  </c:pt>
                  <c:pt idx="15">
                    <c:v>0.58462208835906404</c:v>
                  </c:pt>
                  <c:pt idx="16">
                    <c:v>0.24257249659587504</c:v>
                  </c:pt>
                </c:numCache>
              </c:numRef>
            </c:minus>
            <c:spPr>
              <a:noFill/>
              <a:ln w="6350">
                <a:solidFill>
                  <a:srgbClr val="0070C0"/>
                </a:solidFill>
                <a:round/>
              </a:ln>
              <a:effectLst/>
            </c:spPr>
          </c:errBars>
          <c:val>
            <c:numRef>
              <c:f>'Final measured'!#REF!</c:f>
              <c:numCache>
                <c:formatCode>0.0</c:formatCode>
                <c:ptCount val="17"/>
                <c:pt idx="0">
                  <c:v>36.695752548764034</c:v>
                </c:pt>
                <c:pt idx="1">
                  <c:v>18.800420782977387</c:v>
                </c:pt>
                <c:pt idx="2">
                  <c:v>28.469967893999311</c:v>
                </c:pt>
                <c:pt idx="3">
                  <c:v>26.875408246489609</c:v>
                </c:pt>
                <c:pt idx="4">
                  <c:v>51.567561371483734</c:v>
                </c:pt>
                <c:pt idx="5">
                  <c:v>38.584595848245243</c:v>
                </c:pt>
                <c:pt idx="6">
                  <c:v>31.883098792097098</c:v>
                </c:pt>
                <c:pt idx="7">
                  <c:v>28.447045564516372</c:v>
                </c:pt>
                <c:pt idx="8">
                  <c:v>66.989426485820232</c:v>
                </c:pt>
                <c:pt idx="9">
                  <c:v>78.441288590590673</c:v>
                </c:pt>
                <c:pt idx="10">
                  <c:v>29.669210460505933</c:v>
                </c:pt>
                <c:pt idx="11">
                  <c:v>18.670580228135361</c:v>
                </c:pt>
                <c:pt idx="12">
                  <c:v>19.438339414127501</c:v>
                </c:pt>
                <c:pt idx="13">
                  <c:v>45.685931375815947</c:v>
                </c:pt>
                <c:pt idx="14">
                  <c:v>52.589783342323244</c:v>
                </c:pt>
                <c:pt idx="15">
                  <c:v>49.019582031124536</c:v>
                </c:pt>
                <c:pt idx="16">
                  <c:v>25.015116511916474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'Final measured'!#REF!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AEA-4893-9C53-AF5E342BCBE2}"/>
            </c:ext>
          </c:extLst>
        </c:ser>
        <c:ser>
          <c:idx val="0"/>
          <c:order val="1"/>
          <c:tx>
            <c:v>NO2</c:v>
          </c:tx>
          <c:spPr>
            <a:ln w="222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  <a:alpha val="6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'Final measured'!#REF!</c:f>
                <c:numCache>
                  <c:formatCode>General</c:formatCode>
                  <c:ptCount val="17"/>
                  <c:pt idx="0">
                    <c:v>0.45288293828615683</c:v>
                  </c:pt>
                  <c:pt idx="1">
                    <c:v>0.20879006887199841</c:v>
                  </c:pt>
                  <c:pt idx="2">
                    <c:v>0.69109334898270935</c:v>
                  </c:pt>
                  <c:pt idx="3">
                    <c:v>0.57561342575700236</c:v>
                  </c:pt>
                  <c:pt idx="4">
                    <c:v>0.41795482124375377</c:v>
                  </c:pt>
                  <c:pt idx="5">
                    <c:v>1.2540101395848995</c:v>
                  </c:pt>
                  <c:pt idx="6">
                    <c:v>0.50821523942013491</c:v>
                  </c:pt>
                  <c:pt idx="7">
                    <c:v>0.39855765496634599</c:v>
                  </c:pt>
                  <c:pt idx="8">
                    <c:v>0.6618020205326629</c:v>
                  </c:pt>
                  <c:pt idx="9">
                    <c:v>0.10646275608735499</c:v>
                  </c:pt>
                  <c:pt idx="10">
                    <c:v>0.59445988629365698</c:v>
                  </c:pt>
                  <c:pt idx="11">
                    <c:v>0.2286082027104499</c:v>
                  </c:pt>
                  <c:pt idx="12">
                    <c:v>0.20741940220281094</c:v>
                  </c:pt>
                  <c:pt idx="13">
                    <c:v>0.8296471936588854</c:v>
                  </c:pt>
                  <c:pt idx="14">
                    <c:v>0.35736551907237107</c:v>
                  </c:pt>
                  <c:pt idx="15">
                    <c:v>0.39426263023432462</c:v>
                  </c:pt>
                  <c:pt idx="16">
                    <c:v>0.73957229629404209</c:v>
                  </c:pt>
                </c:numCache>
              </c:numRef>
            </c:plus>
            <c:minus>
              <c:numRef>
                <c:f>'Final measured'!#REF!</c:f>
                <c:numCache>
                  <c:formatCode>General</c:formatCode>
                  <c:ptCount val="17"/>
                  <c:pt idx="0">
                    <c:v>0.45288293828615683</c:v>
                  </c:pt>
                  <c:pt idx="1">
                    <c:v>0.20879006887199841</c:v>
                  </c:pt>
                  <c:pt idx="2">
                    <c:v>0.69109334898270935</c:v>
                  </c:pt>
                  <c:pt idx="3">
                    <c:v>0.57561342575700236</c:v>
                  </c:pt>
                  <c:pt idx="4">
                    <c:v>0.41795482124375377</c:v>
                  </c:pt>
                  <c:pt idx="5">
                    <c:v>1.2540101395848995</c:v>
                  </c:pt>
                  <c:pt idx="6">
                    <c:v>0.50821523942013491</c:v>
                  </c:pt>
                  <c:pt idx="7">
                    <c:v>0.39855765496634599</c:v>
                  </c:pt>
                  <c:pt idx="8">
                    <c:v>0.6618020205326629</c:v>
                  </c:pt>
                  <c:pt idx="9">
                    <c:v>0.10646275608735499</c:v>
                  </c:pt>
                  <c:pt idx="10">
                    <c:v>0.59445988629365698</c:v>
                  </c:pt>
                  <c:pt idx="11">
                    <c:v>0.2286082027104499</c:v>
                  </c:pt>
                  <c:pt idx="12">
                    <c:v>0.20741940220281094</c:v>
                  </c:pt>
                  <c:pt idx="13">
                    <c:v>0.8296471936588854</c:v>
                  </c:pt>
                  <c:pt idx="14">
                    <c:v>0.35736551907237107</c:v>
                  </c:pt>
                  <c:pt idx="15">
                    <c:v>0.39426263023432462</c:v>
                  </c:pt>
                  <c:pt idx="16">
                    <c:v>0.73957229629404209</c:v>
                  </c:pt>
                </c:numCache>
              </c:numRef>
            </c:minus>
            <c:spPr>
              <a:noFill/>
              <a:ln w="6350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errBars>
          <c:val>
            <c:numRef>
              <c:f>'Final measured'!#REF!</c:f>
              <c:numCache>
                <c:formatCode>0.0</c:formatCode>
                <c:ptCount val="17"/>
                <c:pt idx="0">
                  <c:v>9.8462001556948682</c:v>
                </c:pt>
                <c:pt idx="1">
                  <c:v>5.1351788999028996</c:v>
                </c:pt>
                <c:pt idx="2">
                  <c:v>9.5425284241989488</c:v>
                </c:pt>
                <c:pt idx="3">
                  <c:v>9.4664432481028467</c:v>
                </c:pt>
                <c:pt idx="4">
                  <c:v>16.582023011567308</c:v>
                </c:pt>
                <c:pt idx="5">
                  <c:v>12.969680285320662</c:v>
                </c:pt>
                <c:pt idx="6">
                  <c:v>10.069383801813096</c:v>
                </c:pt>
                <c:pt idx="7">
                  <c:v>11.056447951894031</c:v>
                </c:pt>
                <c:pt idx="8">
                  <c:v>21.714266512323629</c:v>
                </c:pt>
                <c:pt idx="9">
                  <c:v>17.905458347876376</c:v>
                </c:pt>
                <c:pt idx="10">
                  <c:v>9.5546950788159819</c:v>
                </c:pt>
                <c:pt idx="11">
                  <c:v>6.1466816540956843</c:v>
                </c:pt>
                <c:pt idx="12">
                  <c:v>5.2702660776097234</c:v>
                </c:pt>
                <c:pt idx="13">
                  <c:v>13.971558641604412</c:v>
                </c:pt>
                <c:pt idx="14">
                  <c:v>15.026011866658996</c:v>
                </c:pt>
                <c:pt idx="15">
                  <c:v>14.409170625669651</c:v>
                </c:pt>
                <c:pt idx="16">
                  <c:v>7.740560241564471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'Final measured'!#REF!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AEA-4893-9C53-AF5E342BC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88984"/>
        <c:axId val="530289376"/>
      </c:lineChart>
      <c:catAx>
        <c:axId val="5302889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Location number</a:t>
                </a:r>
              </a:p>
            </c:rich>
          </c:tx>
          <c:layout>
            <c:manualLayout>
              <c:xMode val="edge"/>
              <c:yMode val="edge"/>
              <c:x val="0.43350362871134546"/>
              <c:y val="0.91826207471729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89376"/>
        <c:crosses val="autoZero"/>
        <c:auto val="1"/>
        <c:lblAlgn val="ctr"/>
        <c:lblOffset val="100"/>
        <c:noMultiLvlLbl val="0"/>
      </c:catAx>
      <c:valAx>
        <c:axId val="5302893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Mean concentration (µg/m</a:t>
                </a:r>
                <a:r>
                  <a:rPr lang="en-GB" sz="1100" cap="none" baseline="30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</a:t>
                </a: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4764657199178197E-2"/>
              <c:y val="0.228801726886942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88984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83543406900018058"/>
          <c:y val="0.12811489685284669"/>
          <c:w val="8.9764964222095289E-2"/>
          <c:h val="0.12169230014472489"/>
        </c:manualLayout>
      </c:layout>
      <c:overlay val="0"/>
      <c:spPr>
        <a:solidFill>
          <a:schemeClr val="bg1">
            <a:lumMod val="9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0" cap="none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Round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76039721876177"/>
          <c:y val="0.1054555233812612"/>
          <c:w val="0.84438874307378242"/>
          <c:h val="0.74690901955012634"/>
        </c:manualLayout>
      </c:layout>
      <c:lineChart>
        <c:grouping val="standard"/>
        <c:varyColors val="0"/>
        <c:ser>
          <c:idx val="1"/>
          <c:order val="0"/>
          <c:tx>
            <c:v>NO2/NOx</c:v>
          </c:tx>
          <c:spPr>
            <a:ln w="222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40000"/>
                  <a:lumOff val="60000"/>
                  <a:alpha val="6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028-4385-91CF-A301DA70E76B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028-4385-91CF-A301DA70E76B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028-4385-91CF-A301DA70E76B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4028-4385-91CF-A301DA70E76B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028-4385-91CF-A301DA70E76B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028-4385-91CF-A301DA70E76B}"/>
              </c:ext>
            </c:extLst>
          </c:dPt>
          <c:val>
            <c:numRef>
              <c:f>'Final measured'!#REF!</c:f>
              <c:numCache>
                <c:formatCode>0.00</c:formatCode>
                <c:ptCount val="17"/>
                <c:pt idx="0">
                  <c:v>0.26831988641220827</c:v>
                </c:pt>
                <c:pt idx="1">
                  <c:v>0.27314170034707336</c:v>
                </c:pt>
                <c:pt idx="2">
                  <c:v>0.33517875607475667</c:v>
                </c:pt>
                <c:pt idx="3">
                  <c:v>0.35223439812637364</c:v>
                </c:pt>
                <c:pt idx="4">
                  <c:v>0.32155918508756504</c:v>
                </c:pt>
                <c:pt idx="5">
                  <c:v>0.33613622224607281</c:v>
                </c:pt>
                <c:pt idx="6">
                  <c:v>0.31582199294596192</c:v>
                </c:pt>
                <c:pt idx="7">
                  <c:v>0.38866770634646752</c:v>
                </c:pt>
                <c:pt idx="8">
                  <c:v>0.32414468448867712</c:v>
                </c:pt>
                <c:pt idx="9">
                  <c:v>0.22826573440590064</c:v>
                </c:pt>
                <c:pt idx="10">
                  <c:v>0.32204075978141317</c:v>
                </c:pt>
                <c:pt idx="11">
                  <c:v>0.32921749506386694</c:v>
                </c:pt>
                <c:pt idx="12">
                  <c:v>0.27112738209413972</c:v>
                </c:pt>
                <c:pt idx="13">
                  <c:v>0.30581752896035558</c:v>
                </c:pt>
                <c:pt idx="14">
                  <c:v>0.28572112132217803</c:v>
                </c:pt>
                <c:pt idx="15">
                  <c:v>0.29394723554600444</c:v>
                </c:pt>
                <c:pt idx="16">
                  <c:v>0.30943530636273842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'Final measured'!#REF!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028-4385-91CF-A301DA70E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90160"/>
        <c:axId val="530290552"/>
      </c:lineChart>
      <c:catAx>
        <c:axId val="53029016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Location number</a:t>
                </a:r>
              </a:p>
            </c:rich>
          </c:tx>
          <c:layout>
            <c:manualLayout>
              <c:xMode val="edge"/>
              <c:yMode val="edge"/>
              <c:x val="0.43350362871134546"/>
              <c:y val="0.91826207471729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90552"/>
        <c:crosses val="autoZero"/>
        <c:auto val="1"/>
        <c:lblAlgn val="ctr"/>
        <c:lblOffset val="100"/>
        <c:noMultiLvlLbl val="0"/>
      </c:catAx>
      <c:valAx>
        <c:axId val="5302905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NO</a:t>
                </a:r>
                <a:r>
                  <a:rPr lang="en-GB" sz="1100" cap="none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/NOx</a:t>
                </a:r>
              </a:p>
            </c:rich>
          </c:tx>
          <c:layout>
            <c:manualLayout>
              <c:xMode val="edge"/>
              <c:yMode val="edge"/>
              <c:x val="1.2862612785991847E-2"/>
              <c:y val="0.39718937039144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90160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0" cap="none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Round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250218722659669E-2"/>
          <c:y val="0.1054556381386906"/>
          <c:w val="0.84438874307378242"/>
          <c:h val="0.74690901955012634"/>
        </c:manualLayout>
      </c:layout>
      <c:lineChart>
        <c:grouping val="standard"/>
        <c:varyColors val="0"/>
        <c:ser>
          <c:idx val="1"/>
          <c:order val="0"/>
          <c:tx>
            <c:v>NOx</c:v>
          </c:tx>
          <c:spPr>
            <a:ln w="222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40000"/>
                  <a:lumOff val="60000"/>
                  <a:alpha val="6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6E4-499B-989C-938F92BA679E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6E4-499B-989C-938F92BA679E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6E4-499B-989C-938F92BA679E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6E4-499B-989C-938F92BA679E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6E4-499B-989C-938F92BA679E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6E4-499B-989C-938F92BA679E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'Final measured'!#REF!</c:f>
                <c:numCache>
                  <c:formatCode>General</c:formatCode>
                  <c:ptCount val="17"/>
                  <c:pt idx="0">
                    <c:v>0.24633979332312422</c:v>
                  </c:pt>
                  <c:pt idx="1">
                    <c:v>9.4280372191909989E-2</c:v>
                  </c:pt>
                  <c:pt idx="2">
                    <c:v>0.15423955794981453</c:v>
                  </c:pt>
                  <c:pt idx="3">
                    <c:v>1.3899837414830662</c:v>
                  </c:pt>
                  <c:pt idx="4">
                    <c:v>2.0936283749416695</c:v>
                  </c:pt>
                  <c:pt idx="5">
                    <c:v>3.3450642238103243</c:v>
                  </c:pt>
                  <c:pt idx="6">
                    <c:v>0.45433939110464178</c:v>
                  </c:pt>
                  <c:pt idx="7">
                    <c:v>1.6819175166794003</c:v>
                  </c:pt>
                  <c:pt idx="8">
                    <c:v>1.8945163967366081</c:v>
                  </c:pt>
                  <c:pt idx="9">
                    <c:v>3.0729183807179794</c:v>
                  </c:pt>
                  <c:pt idx="10">
                    <c:v>0.86558700963246149</c:v>
                  </c:pt>
                  <c:pt idx="11">
                    <c:v>0.51185311012968604</c:v>
                  </c:pt>
                  <c:pt idx="12">
                    <c:v>7.6339375597150427E-2</c:v>
                  </c:pt>
                  <c:pt idx="13">
                    <c:v>0.29064772346315565</c:v>
                  </c:pt>
                  <c:pt idx="14">
                    <c:v>0.65009175212296122</c:v>
                  </c:pt>
                  <c:pt idx="15">
                    <c:v>0.49091328929019662</c:v>
                  </c:pt>
                  <c:pt idx="16">
                    <c:v>0.44315308585069418</c:v>
                  </c:pt>
                </c:numCache>
              </c:numRef>
            </c:plus>
            <c:minus>
              <c:numRef>
                <c:f>'Final measured'!#REF!</c:f>
                <c:numCache>
                  <c:formatCode>General</c:formatCode>
                  <c:ptCount val="17"/>
                  <c:pt idx="0">
                    <c:v>0.24633979332312422</c:v>
                  </c:pt>
                  <c:pt idx="1">
                    <c:v>9.4280372191909989E-2</c:v>
                  </c:pt>
                  <c:pt idx="2">
                    <c:v>0.15423955794981453</c:v>
                  </c:pt>
                  <c:pt idx="3">
                    <c:v>1.3899837414830662</c:v>
                  </c:pt>
                  <c:pt idx="4">
                    <c:v>2.0936283749416695</c:v>
                  </c:pt>
                  <c:pt idx="5">
                    <c:v>3.3450642238103243</c:v>
                  </c:pt>
                  <c:pt idx="6">
                    <c:v>0.45433939110464178</c:v>
                  </c:pt>
                  <c:pt idx="7">
                    <c:v>1.6819175166794003</c:v>
                  </c:pt>
                  <c:pt idx="8">
                    <c:v>1.8945163967366081</c:v>
                  </c:pt>
                  <c:pt idx="9">
                    <c:v>3.0729183807179794</c:v>
                  </c:pt>
                  <c:pt idx="10">
                    <c:v>0.86558700963246149</c:v>
                  </c:pt>
                  <c:pt idx="11">
                    <c:v>0.51185311012968604</c:v>
                  </c:pt>
                  <c:pt idx="12">
                    <c:v>7.6339375597150427E-2</c:v>
                  </c:pt>
                  <c:pt idx="13">
                    <c:v>0.29064772346315565</c:v>
                  </c:pt>
                  <c:pt idx="14">
                    <c:v>0.65009175212296122</c:v>
                  </c:pt>
                  <c:pt idx="15">
                    <c:v>0.49091328929019662</c:v>
                  </c:pt>
                  <c:pt idx="16">
                    <c:v>0.44315308585069418</c:v>
                  </c:pt>
                </c:numCache>
              </c:numRef>
            </c:minus>
            <c:spPr>
              <a:noFill/>
              <a:ln w="6350">
                <a:solidFill>
                  <a:srgbClr val="0070C0"/>
                </a:solidFill>
                <a:round/>
              </a:ln>
              <a:effectLst/>
            </c:spPr>
          </c:errBars>
          <c:val>
            <c:numRef>
              <c:f>'Final measured'!#REF!</c:f>
              <c:numCache>
                <c:formatCode>0.0</c:formatCode>
                <c:ptCount val="17"/>
                <c:pt idx="0">
                  <c:v>40.488383708591314</c:v>
                </c:pt>
                <c:pt idx="1">
                  <c:v>9.9992268944593832</c:v>
                </c:pt>
                <c:pt idx="2">
                  <c:v>26.368566362016058</c:v>
                </c:pt>
                <c:pt idx="3">
                  <c:v>21.586599647290402</c:v>
                </c:pt>
                <c:pt idx="4">
                  <c:v>60.792431293086551</c:v>
                </c:pt>
                <c:pt idx="5">
                  <c:v>44.08056298693112</c:v>
                </c:pt>
                <c:pt idx="6">
                  <c:v>31.865865457051459</c:v>
                </c:pt>
                <c:pt idx="7">
                  <c:v>22.918233312000037</c:v>
                </c:pt>
                <c:pt idx="8">
                  <c:v>84.460588617275278</c:v>
                </c:pt>
                <c:pt idx="9">
                  <c:v>68.890155313753809</c:v>
                </c:pt>
                <c:pt idx="10">
                  <c:v>24.153457789397752</c:v>
                </c:pt>
                <c:pt idx="11">
                  <c:v>10.940848475888458</c:v>
                </c:pt>
                <c:pt idx="12">
                  <c:v>11.24604057545759</c:v>
                </c:pt>
                <c:pt idx="13">
                  <c:v>32.177901629820944</c:v>
                </c:pt>
                <c:pt idx="14">
                  <c:v>38.770724869823226</c:v>
                </c:pt>
                <c:pt idx="15">
                  <c:v>39.992878650512459</c:v>
                </c:pt>
                <c:pt idx="16">
                  <c:v>17.669998581313312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'Final measured'!#REF!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6E4-499B-989C-938F92BA679E}"/>
            </c:ext>
          </c:extLst>
        </c:ser>
        <c:ser>
          <c:idx val="0"/>
          <c:order val="1"/>
          <c:tx>
            <c:v>NO2</c:v>
          </c:tx>
          <c:spPr>
            <a:ln w="222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  <a:alpha val="6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'Final measured'!#REF!</c:f>
                <c:numCache>
                  <c:formatCode>General</c:formatCode>
                  <c:ptCount val="17"/>
                  <c:pt idx="0">
                    <c:v>0.80108732036591956</c:v>
                  </c:pt>
                  <c:pt idx="1">
                    <c:v>5.5657377554701404E-2</c:v>
                  </c:pt>
                  <c:pt idx="2">
                    <c:v>0.42465180147317316</c:v>
                  </c:pt>
                  <c:pt idx="3">
                    <c:v>0.58587379530358974</c:v>
                  </c:pt>
                  <c:pt idx="4">
                    <c:v>1.4201331375986166</c:v>
                  </c:pt>
                  <c:pt idx="5">
                    <c:v>1.6733702754756479</c:v>
                  </c:pt>
                  <c:pt idx="6">
                    <c:v>0.57793986947791443</c:v>
                  </c:pt>
                  <c:pt idx="7">
                    <c:v>0.14143601482470519</c:v>
                  </c:pt>
                  <c:pt idx="8">
                    <c:v>0.49846473828337262</c:v>
                  </c:pt>
                  <c:pt idx="9">
                    <c:v>0.19504515825992819</c:v>
                  </c:pt>
                  <c:pt idx="10">
                    <c:v>0.66992515065659886</c:v>
                  </c:pt>
                  <c:pt idx="11">
                    <c:v>0.26662805251737937</c:v>
                  </c:pt>
                  <c:pt idx="12">
                    <c:v>0.39017593572370651</c:v>
                  </c:pt>
                  <c:pt idx="13">
                    <c:v>0.87404179464177822</c:v>
                  </c:pt>
                  <c:pt idx="14">
                    <c:v>0.33817654363023675</c:v>
                  </c:pt>
                  <c:pt idx="15">
                    <c:v>0.28801072956328128</c:v>
                  </c:pt>
                  <c:pt idx="16">
                    <c:v>0.41055333140859462</c:v>
                  </c:pt>
                </c:numCache>
              </c:numRef>
            </c:plus>
            <c:minus>
              <c:numRef>
                <c:f>'Final measured'!#REF!</c:f>
                <c:numCache>
                  <c:formatCode>General</c:formatCode>
                  <c:ptCount val="17"/>
                  <c:pt idx="0">
                    <c:v>0.80108732036591956</c:v>
                  </c:pt>
                  <c:pt idx="1">
                    <c:v>5.5657377554701404E-2</c:v>
                  </c:pt>
                  <c:pt idx="2">
                    <c:v>0.42465180147317316</c:v>
                  </c:pt>
                  <c:pt idx="3">
                    <c:v>0.58587379530358974</c:v>
                  </c:pt>
                  <c:pt idx="4">
                    <c:v>1.4201331375986166</c:v>
                  </c:pt>
                  <c:pt idx="5">
                    <c:v>1.6733702754756479</c:v>
                  </c:pt>
                  <c:pt idx="6">
                    <c:v>0.57793986947791443</c:v>
                  </c:pt>
                  <c:pt idx="7">
                    <c:v>0.14143601482470519</c:v>
                  </c:pt>
                  <c:pt idx="8">
                    <c:v>0.49846473828337262</c:v>
                  </c:pt>
                  <c:pt idx="9">
                    <c:v>0.19504515825992819</c:v>
                  </c:pt>
                  <c:pt idx="10">
                    <c:v>0.66992515065659886</c:v>
                  </c:pt>
                  <c:pt idx="11">
                    <c:v>0.26662805251737937</c:v>
                  </c:pt>
                  <c:pt idx="12">
                    <c:v>0.39017593572370651</c:v>
                  </c:pt>
                  <c:pt idx="13">
                    <c:v>0.87404179464177822</c:v>
                  </c:pt>
                  <c:pt idx="14">
                    <c:v>0.33817654363023675</c:v>
                  </c:pt>
                  <c:pt idx="15">
                    <c:v>0.28801072956328128</c:v>
                  </c:pt>
                  <c:pt idx="16">
                    <c:v>0.41055333140859462</c:v>
                  </c:pt>
                </c:numCache>
              </c:numRef>
            </c:minus>
            <c:spPr>
              <a:noFill/>
              <a:ln w="6350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errBars>
          <c:val>
            <c:numRef>
              <c:f>'Final measured'!#REF!</c:f>
              <c:numCache>
                <c:formatCode>0.0</c:formatCode>
                <c:ptCount val="17"/>
                <c:pt idx="0">
                  <c:v>10.540061358147542</c:v>
                </c:pt>
                <c:pt idx="1">
                  <c:v>3.0805649183455817</c:v>
                </c:pt>
                <c:pt idx="2">
                  <c:v>9.3081542227595726</c:v>
                </c:pt>
                <c:pt idx="3">
                  <c:v>8.5554732171342511</c:v>
                </c:pt>
                <c:pt idx="4">
                  <c:v>20.083764654079935</c:v>
                </c:pt>
                <c:pt idx="5">
                  <c:v>14.312639089054793</c:v>
                </c:pt>
                <c:pt idx="6">
                  <c:v>9.9637001023456744</c:v>
                </c:pt>
                <c:pt idx="7">
                  <c:v>11.108286156136705</c:v>
                </c:pt>
                <c:pt idx="8">
                  <c:v>27.856821724927357</c:v>
                </c:pt>
                <c:pt idx="9">
                  <c:v>14.851295621791465</c:v>
                </c:pt>
                <c:pt idx="10">
                  <c:v>9.8169565855819272</c:v>
                </c:pt>
                <c:pt idx="11">
                  <c:v>4.0628529936638644</c:v>
                </c:pt>
                <c:pt idx="12">
                  <c:v>4.243270190878687</c:v>
                </c:pt>
                <c:pt idx="13">
                  <c:v>9.844320372919972</c:v>
                </c:pt>
                <c:pt idx="14">
                  <c:v>10.871704493317765</c:v>
                </c:pt>
                <c:pt idx="15">
                  <c:v>9.9118136214721684</c:v>
                </c:pt>
                <c:pt idx="16">
                  <c:v>7.3507036750833237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'Final measured'!#REF!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36E4-499B-989C-938F92BA6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91336"/>
        <c:axId val="530291728"/>
      </c:lineChart>
      <c:catAx>
        <c:axId val="5302913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Location number</a:t>
                </a:r>
              </a:p>
            </c:rich>
          </c:tx>
          <c:layout>
            <c:manualLayout>
              <c:xMode val="edge"/>
              <c:yMode val="edge"/>
              <c:x val="0.43350362871134546"/>
              <c:y val="0.91826207471729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91728"/>
        <c:crosses val="autoZero"/>
        <c:auto val="1"/>
        <c:lblAlgn val="ctr"/>
        <c:lblOffset val="100"/>
        <c:noMultiLvlLbl val="0"/>
      </c:catAx>
      <c:valAx>
        <c:axId val="5302917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Mean concentration (µg/m</a:t>
                </a:r>
                <a:r>
                  <a:rPr lang="en-GB" sz="1100" cap="none" baseline="30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</a:t>
                </a: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4764657199178197E-2"/>
              <c:y val="0.228801726886942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91336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83543406900018058"/>
          <c:y val="0.12811489685284669"/>
          <c:w val="8.9764964222095289E-2"/>
          <c:h val="0.12169230014472489"/>
        </c:manualLayout>
      </c:layout>
      <c:overlay val="0"/>
      <c:spPr>
        <a:solidFill>
          <a:schemeClr val="bg1">
            <a:lumMod val="9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0" cap="none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Round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76039721876177"/>
          <c:y val="0.1054555233812612"/>
          <c:w val="0.84438874307378242"/>
          <c:h val="0.74690901955012634"/>
        </c:manualLayout>
      </c:layout>
      <c:lineChart>
        <c:grouping val="standard"/>
        <c:varyColors val="0"/>
        <c:ser>
          <c:idx val="1"/>
          <c:order val="0"/>
          <c:tx>
            <c:v>NO2/NOx</c:v>
          </c:tx>
          <c:spPr>
            <a:ln w="222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40000"/>
                  <a:lumOff val="60000"/>
                  <a:alpha val="6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877-4125-B62E-92F465377831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877-4125-B62E-92F465377831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877-4125-B62E-92F465377831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877-4125-B62E-92F465377831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877-4125-B62E-92F465377831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5">
                    <a:lumMod val="40000"/>
                    <a:lumOff val="60000"/>
                    <a:alpha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877-4125-B62E-92F465377831}"/>
              </c:ext>
            </c:extLst>
          </c:dPt>
          <c:val>
            <c:numRef>
              <c:f>'Final measured'!#REF!</c:f>
              <c:numCache>
                <c:formatCode>0.00</c:formatCode>
                <c:ptCount val="17"/>
                <c:pt idx="0">
                  <c:v>0.26032309498961365</c:v>
                </c:pt>
                <c:pt idx="1">
                  <c:v>0.30808030969399608</c:v>
                </c:pt>
                <c:pt idx="2">
                  <c:v>0.35300190745932919</c:v>
                </c:pt>
                <c:pt idx="3">
                  <c:v>0.39633260249064528</c:v>
                </c:pt>
                <c:pt idx="4">
                  <c:v>0.33036620228682817</c:v>
                </c:pt>
                <c:pt idx="5">
                  <c:v>0.32469274707989015</c:v>
                </c:pt>
                <c:pt idx="6">
                  <c:v>0.312676274735882</c:v>
                </c:pt>
                <c:pt idx="7">
                  <c:v>0.48469207922411639</c:v>
                </c:pt>
                <c:pt idx="8">
                  <c:v>0.32982035977937313</c:v>
                </c:pt>
                <c:pt idx="9">
                  <c:v>0.21557936042026063</c:v>
                </c:pt>
                <c:pt idx="10">
                  <c:v>0.40644104339756754</c:v>
                </c:pt>
                <c:pt idx="11">
                  <c:v>0.37134715855151607</c:v>
                </c:pt>
                <c:pt idx="12">
                  <c:v>0.37731236717559441</c:v>
                </c:pt>
                <c:pt idx="13">
                  <c:v>0.30593419316680132</c:v>
                </c:pt>
                <c:pt idx="14">
                  <c:v>0.2804101426996955</c:v>
                </c:pt>
                <c:pt idx="15">
                  <c:v>0.24783946432286041</c:v>
                </c:pt>
                <c:pt idx="16">
                  <c:v>0.41599910952211222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'Final measured'!#REF!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877-4125-B62E-92F46537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92512"/>
        <c:axId val="530292904"/>
      </c:lineChart>
      <c:catAx>
        <c:axId val="53029251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Location number</a:t>
                </a:r>
              </a:p>
            </c:rich>
          </c:tx>
          <c:layout>
            <c:manualLayout>
              <c:xMode val="edge"/>
              <c:yMode val="edge"/>
              <c:x val="0.43350362871134546"/>
              <c:y val="0.91826207471729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92904"/>
        <c:crosses val="autoZero"/>
        <c:auto val="1"/>
        <c:lblAlgn val="ctr"/>
        <c:lblOffset val="100"/>
        <c:noMultiLvlLbl val="0"/>
      </c:catAx>
      <c:valAx>
        <c:axId val="530292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NO</a:t>
                </a:r>
                <a:r>
                  <a:rPr lang="en-GB" sz="1100" cap="none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/NOx</a:t>
                </a:r>
              </a:p>
            </c:rich>
          </c:tx>
          <c:layout>
            <c:manualLayout>
              <c:xMode val="edge"/>
              <c:yMode val="edge"/>
              <c:x val="1.2862612785991847E-2"/>
              <c:y val="0.39718937039144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92512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0" cap="none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Round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250218722659669E-2"/>
          <c:y val="0.1054556381386906"/>
          <c:w val="0.84438874307378242"/>
          <c:h val="0.74690901955012634"/>
        </c:manualLayout>
      </c:layout>
      <c:scatterChart>
        <c:scatterStyle val="lineMarker"/>
        <c:varyColors val="0"/>
        <c:ser>
          <c:idx val="1"/>
          <c:order val="0"/>
          <c:tx>
            <c:v>NOx (N)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5000"/>
                  <a:alpha val="60000"/>
                </a:schemeClr>
              </a:solidFill>
              <a:ln w="6350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067-4439-A0D0-493D2D1638BE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067-4439-A0D0-493D2D1638BE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067-4439-A0D0-493D2D1638BE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067-4439-A0D0-493D2D1638BE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067-4439-A0D0-493D2D1638BE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067-4439-A0D0-493D2D1638BE}"/>
              </c:ext>
            </c:extLst>
          </c:dPt>
          <c:xVal>
            <c:numRef>
              <c:f>'Site data'!$E$5:$E$21</c:f>
              <c:numCache>
                <c:formatCode>0.0</c:formatCode>
                <c:ptCount val="17"/>
                <c:pt idx="1">
                  <c:v>186</c:v>
                </c:pt>
                <c:pt idx="11">
                  <c:v>157.69999999999999</c:v>
                </c:pt>
                <c:pt idx="12">
                  <c:v>216</c:v>
                </c:pt>
              </c:numCache>
            </c:numRef>
          </c:xVal>
          <c:yVal>
            <c:numRef>
              <c:f>'Final measured'!#REF!</c:f>
              <c:numCache>
                <c:formatCode>0.0</c:formatCode>
                <c:ptCount val="17"/>
                <c:pt idx="0">
                  <c:v>36.695752548764034</c:v>
                </c:pt>
                <c:pt idx="1">
                  <c:v>18.800420782977387</c:v>
                </c:pt>
                <c:pt idx="2">
                  <c:v>28.469967893999311</c:v>
                </c:pt>
                <c:pt idx="3">
                  <c:v>26.875408246489609</c:v>
                </c:pt>
                <c:pt idx="4">
                  <c:v>51.567561371483734</c:v>
                </c:pt>
                <c:pt idx="5">
                  <c:v>38.584595848245243</c:v>
                </c:pt>
                <c:pt idx="6">
                  <c:v>31.883098792097098</c:v>
                </c:pt>
                <c:pt idx="7">
                  <c:v>28.447045564516372</c:v>
                </c:pt>
                <c:pt idx="8">
                  <c:v>66.989426485820232</c:v>
                </c:pt>
                <c:pt idx="9">
                  <c:v>78.441288590590673</c:v>
                </c:pt>
                <c:pt idx="10">
                  <c:v>29.669210460505933</c:v>
                </c:pt>
                <c:pt idx="11">
                  <c:v>18.670580228135361</c:v>
                </c:pt>
                <c:pt idx="12">
                  <c:v>19.438339414127501</c:v>
                </c:pt>
                <c:pt idx="13">
                  <c:v>45.685931375815947</c:v>
                </c:pt>
                <c:pt idx="14">
                  <c:v>52.589783342323244</c:v>
                </c:pt>
                <c:pt idx="15">
                  <c:v>49.019582031124536</c:v>
                </c:pt>
                <c:pt idx="16">
                  <c:v>25.015116511916474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67-4439-A0D0-493D2D1638BE}"/>
            </c:ext>
          </c:extLst>
        </c:ser>
        <c:ser>
          <c:idx val="2"/>
          <c:order val="1"/>
          <c:tx>
            <c:v>NOx (S)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accent1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'Site data'!$F$5:$F$21</c:f>
              <c:numCache>
                <c:formatCode>0.0</c:formatCode>
                <c:ptCount val="17"/>
                <c:pt idx="0">
                  <c:v>-251.4</c:v>
                </c:pt>
                <c:pt idx="2">
                  <c:v>-220.1</c:v>
                </c:pt>
                <c:pt idx="3">
                  <c:v>-190.5</c:v>
                </c:pt>
                <c:pt idx="4">
                  <c:v>-250.1</c:v>
                </c:pt>
                <c:pt idx="5">
                  <c:v>-226.1</c:v>
                </c:pt>
                <c:pt idx="6">
                  <c:v>-203.3</c:v>
                </c:pt>
                <c:pt idx="7">
                  <c:v>-56.5</c:v>
                </c:pt>
                <c:pt idx="8">
                  <c:v>-252.6</c:v>
                </c:pt>
                <c:pt idx="9">
                  <c:v>-278.60000000000002</c:v>
                </c:pt>
                <c:pt idx="10">
                  <c:v>-16.8</c:v>
                </c:pt>
                <c:pt idx="13">
                  <c:v>-339.3</c:v>
                </c:pt>
                <c:pt idx="14">
                  <c:v>-299.3</c:v>
                </c:pt>
                <c:pt idx="15">
                  <c:v>-343.5</c:v>
                </c:pt>
                <c:pt idx="16">
                  <c:v>-125.5</c:v>
                </c:pt>
              </c:numCache>
            </c:numRef>
          </c:xVal>
          <c:yVal>
            <c:numRef>
              <c:f>'Final measured'!#REF!</c:f>
              <c:numCache>
                <c:formatCode>0.0</c:formatCode>
                <c:ptCount val="17"/>
                <c:pt idx="0">
                  <c:v>36.695752548764034</c:v>
                </c:pt>
                <c:pt idx="1">
                  <c:v>18.800420782977387</c:v>
                </c:pt>
                <c:pt idx="2">
                  <c:v>28.469967893999311</c:v>
                </c:pt>
                <c:pt idx="3">
                  <c:v>26.875408246489609</c:v>
                </c:pt>
                <c:pt idx="4">
                  <c:v>51.567561371483734</c:v>
                </c:pt>
                <c:pt idx="5">
                  <c:v>38.584595848245243</c:v>
                </c:pt>
                <c:pt idx="6">
                  <c:v>31.883098792097098</c:v>
                </c:pt>
                <c:pt idx="7">
                  <c:v>28.447045564516372</c:v>
                </c:pt>
                <c:pt idx="8">
                  <c:v>66.989426485820232</c:v>
                </c:pt>
                <c:pt idx="9">
                  <c:v>78.441288590590673</c:v>
                </c:pt>
                <c:pt idx="10">
                  <c:v>29.669210460505933</c:v>
                </c:pt>
                <c:pt idx="11">
                  <c:v>18.670580228135361</c:v>
                </c:pt>
                <c:pt idx="12">
                  <c:v>19.438339414127501</c:v>
                </c:pt>
                <c:pt idx="13">
                  <c:v>45.685931375815947</c:v>
                </c:pt>
                <c:pt idx="14">
                  <c:v>52.589783342323244</c:v>
                </c:pt>
                <c:pt idx="15">
                  <c:v>49.019582031124536</c:v>
                </c:pt>
                <c:pt idx="16">
                  <c:v>25.015116511916474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67-4439-A0D0-493D2D163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293688"/>
        <c:axId val="530294080"/>
        <c:extLst/>
      </c:scatterChart>
      <c:valAx>
        <c:axId val="53029368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 from centre of Gipps St (m)</a:t>
                </a:r>
              </a:p>
            </c:rich>
          </c:tx>
          <c:layout>
            <c:manualLayout>
              <c:xMode val="edge"/>
              <c:yMode val="edge"/>
              <c:x val="0.35932389659707781"/>
              <c:y val="0.93084676331346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94080"/>
        <c:crosses val="autoZero"/>
        <c:crossBetween val="midCat"/>
      </c:valAx>
      <c:valAx>
        <c:axId val="5302940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Mean concentration (µg/m</a:t>
                </a:r>
                <a:r>
                  <a:rPr lang="en-GB" sz="1100" cap="none" baseline="30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</a:t>
                </a: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4764657199178197E-2"/>
              <c:y val="0.228801726886942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93688"/>
        <c:crosses val="autoZero"/>
        <c:crossBetween val="midCat"/>
      </c:valAx>
      <c:spPr>
        <a:solidFill>
          <a:schemeClr val="bg1">
            <a:lumMod val="9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2147111603279666"/>
          <c:y val="0.13761645448524543"/>
          <c:w val="8.5328707721072219E-2"/>
          <c:h val="0.1051409228052101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0" cap="none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Round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250218722659669E-2"/>
          <c:y val="0.1054556381386906"/>
          <c:w val="0.84438874307378242"/>
          <c:h val="0.74690901955012634"/>
        </c:manualLayout>
      </c:layout>
      <c:scatterChart>
        <c:scatterStyle val="lineMarker"/>
        <c:varyColors val="0"/>
        <c:ser>
          <c:idx val="1"/>
          <c:order val="0"/>
          <c:tx>
            <c:v>NOx (N)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5000"/>
                  <a:alpha val="60000"/>
                </a:schemeClr>
              </a:solidFill>
              <a:ln w="6350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C54-4957-BD2A-89AE83DFDCD5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C54-4957-BD2A-89AE83DFDCD5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C54-4957-BD2A-89AE83DFDCD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C54-4957-BD2A-89AE83DFDCD5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C54-4957-BD2A-89AE83DFDCD5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5">
                    <a:lumMod val="75000"/>
                    <a:alpha val="60000"/>
                  </a:schemeClr>
                </a:solidFill>
                <a:ln w="6350">
                  <a:solidFill>
                    <a:schemeClr val="accent1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C54-4957-BD2A-89AE83DFDCD5}"/>
              </c:ext>
            </c:extLst>
          </c:dPt>
          <c:xVal>
            <c:numRef>
              <c:f>'Site data'!$E$5:$E$21</c:f>
              <c:numCache>
                <c:formatCode>0.0</c:formatCode>
                <c:ptCount val="17"/>
                <c:pt idx="1">
                  <c:v>186</c:v>
                </c:pt>
                <c:pt idx="11">
                  <c:v>157.69999999999999</c:v>
                </c:pt>
                <c:pt idx="12">
                  <c:v>216</c:v>
                </c:pt>
              </c:numCache>
            </c:numRef>
          </c:xVal>
          <c:yVal>
            <c:numRef>
              <c:f>'Final measured'!#REF!</c:f>
              <c:numCache>
                <c:formatCode>0.0</c:formatCode>
                <c:ptCount val="17"/>
                <c:pt idx="0">
                  <c:v>40.488383708591314</c:v>
                </c:pt>
                <c:pt idx="1">
                  <c:v>9.9992268944593832</c:v>
                </c:pt>
                <c:pt idx="2">
                  <c:v>26.368566362016058</c:v>
                </c:pt>
                <c:pt idx="3">
                  <c:v>21.586599647290402</c:v>
                </c:pt>
                <c:pt idx="4">
                  <c:v>60.792431293086551</c:v>
                </c:pt>
                <c:pt idx="5">
                  <c:v>44.08056298693112</c:v>
                </c:pt>
                <c:pt idx="6">
                  <c:v>31.865865457051459</c:v>
                </c:pt>
                <c:pt idx="7">
                  <c:v>22.918233312000037</c:v>
                </c:pt>
                <c:pt idx="8">
                  <c:v>84.460588617275278</c:v>
                </c:pt>
                <c:pt idx="9">
                  <c:v>68.890155313753809</c:v>
                </c:pt>
                <c:pt idx="10">
                  <c:v>24.153457789397752</c:v>
                </c:pt>
                <c:pt idx="11">
                  <c:v>10.940848475888458</c:v>
                </c:pt>
                <c:pt idx="12">
                  <c:v>11.24604057545759</c:v>
                </c:pt>
                <c:pt idx="13">
                  <c:v>32.177901629820944</c:v>
                </c:pt>
                <c:pt idx="14">
                  <c:v>38.770724869823226</c:v>
                </c:pt>
                <c:pt idx="15">
                  <c:v>39.992878650512459</c:v>
                </c:pt>
                <c:pt idx="16">
                  <c:v>17.669998581313312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54-4957-BD2A-89AE83DFDCD5}"/>
            </c:ext>
          </c:extLst>
        </c:ser>
        <c:ser>
          <c:idx val="2"/>
          <c:order val="1"/>
          <c:tx>
            <c:v>NOx (S)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accent1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'Site data'!$F$5:$F$21</c:f>
              <c:numCache>
                <c:formatCode>0.0</c:formatCode>
                <c:ptCount val="17"/>
                <c:pt idx="0">
                  <c:v>-251.4</c:v>
                </c:pt>
                <c:pt idx="2">
                  <c:v>-220.1</c:v>
                </c:pt>
                <c:pt idx="3">
                  <c:v>-190.5</c:v>
                </c:pt>
                <c:pt idx="4">
                  <c:v>-250.1</c:v>
                </c:pt>
                <c:pt idx="5">
                  <c:v>-226.1</c:v>
                </c:pt>
                <c:pt idx="6">
                  <c:v>-203.3</c:v>
                </c:pt>
                <c:pt idx="7">
                  <c:v>-56.5</c:v>
                </c:pt>
                <c:pt idx="8">
                  <c:v>-252.6</c:v>
                </c:pt>
                <c:pt idx="9">
                  <c:v>-278.60000000000002</c:v>
                </c:pt>
                <c:pt idx="10">
                  <c:v>-16.8</c:v>
                </c:pt>
                <c:pt idx="13">
                  <c:v>-339.3</c:v>
                </c:pt>
                <c:pt idx="14">
                  <c:v>-299.3</c:v>
                </c:pt>
                <c:pt idx="15">
                  <c:v>-343.5</c:v>
                </c:pt>
                <c:pt idx="16">
                  <c:v>-125.5</c:v>
                </c:pt>
              </c:numCache>
            </c:numRef>
          </c:xVal>
          <c:yVal>
            <c:numRef>
              <c:f>'Final measured'!#REF!</c:f>
              <c:numCache>
                <c:formatCode>0.0</c:formatCode>
                <c:ptCount val="17"/>
                <c:pt idx="0">
                  <c:v>40.488383708591314</c:v>
                </c:pt>
                <c:pt idx="1">
                  <c:v>9.9992268944593832</c:v>
                </c:pt>
                <c:pt idx="2">
                  <c:v>26.368566362016058</c:v>
                </c:pt>
                <c:pt idx="3">
                  <c:v>21.586599647290402</c:v>
                </c:pt>
                <c:pt idx="4">
                  <c:v>60.792431293086551</c:v>
                </c:pt>
                <c:pt idx="5">
                  <c:v>44.08056298693112</c:v>
                </c:pt>
                <c:pt idx="6">
                  <c:v>31.865865457051459</c:v>
                </c:pt>
                <c:pt idx="7">
                  <c:v>22.918233312000037</c:v>
                </c:pt>
                <c:pt idx="8">
                  <c:v>84.460588617275278</c:v>
                </c:pt>
                <c:pt idx="9">
                  <c:v>68.890155313753809</c:v>
                </c:pt>
                <c:pt idx="10">
                  <c:v>24.153457789397752</c:v>
                </c:pt>
                <c:pt idx="11">
                  <c:v>10.940848475888458</c:v>
                </c:pt>
                <c:pt idx="12">
                  <c:v>11.24604057545759</c:v>
                </c:pt>
                <c:pt idx="13">
                  <c:v>32.177901629820944</c:v>
                </c:pt>
                <c:pt idx="14">
                  <c:v>38.770724869823226</c:v>
                </c:pt>
                <c:pt idx="15">
                  <c:v>39.992878650512459</c:v>
                </c:pt>
                <c:pt idx="16">
                  <c:v>17.669998581313312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54-4957-BD2A-89AE83DFD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294864"/>
        <c:axId val="530295256"/>
        <c:extLst/>
      </c:scatterChart>
      <c:valAx>
        <c:axId val="53029486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 from centre of Gipps St (m)</a:t>
                </a:r>
              </a:p>
            </c:rich>
          </c:tx>
          <c:layout>
            <c:manualLayout>
              <c:xMode val="edge"/>
              <c:yMode val="edge"/>
              <c:x val="0.35932389659707781"/>
              <c:y val="0.93084676331346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95256"/>
        <c:crosses val="autoZero"/>
        <c:crossBetween val="midCat"/>
      </c:valAx>
      <c:valAx>
        <c:axId val="530295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Mean concentration (µg/m</a:t>
                </a:r>
                <a:r>
                  <a:rPr lang="en-GB" sz="1100" cap="none" baseline="30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</a:t>
                </a:r>
                <a:r>
                  <a:rPr lang="en-GB" sz="1100" cap="non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4764657199178197E-2"/>
              <c:y val="0.228801726886942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cap="non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294864"/>
        <c:crosses val="autoZero"/>
        <c:crossBetween val="midCat"/>
      </c:valAx>
      <c:spPr>
        <a:solidFill>
          <a:schemeClr val="bg1">
            <a:lumMod val="9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2147111603279666"/>
          <c:y val="0.13761645448524543"/>
          <c:w val="8.5328707721072219E-2"/>
          <c:h val="0.1051409228052101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48</xdr:col>
      <xdr:colOff>9526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32</xdr:row>
      <xdr:rowOff>0</xdr:rowOff>
    </xdr:from>
    <xdr:to>
      <xdr:col>48</xdr:col>
      <xdr:colOff>9526</xdr:colOff>
      <xdr:row>62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37</xdr:col>
      <xdr:colOff>9526</xdr:colOff>
      <xdr:row>27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28</xdr:row>
      <xdr:rowOff>0</xdr:rowOff>
    </xdr:from>
    <xdr:to>
      <xdr:col>37</xdr:col>
      <xdr:colOff>9526</xdr:colOff>
      <xdr:row>53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0</xdr:colOff>
      <xdr:row>2</xdr:row>
      <xdr:rowOff>0</xdr:rowOff>
    </xdr:from>
    <xdr:to>
      <xdr:col>74</xdr:col>
      <xdr:colOff>9526</xdr:colOff>
      <xdr:row>27</xdr:row>
      <xdr:rowOff>28575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0</xdr:colOff>
      <xdr:row>28</xdr:row>
      <xdr:rowOff>0</xdr:rowOff>
    </xdr:from>
    <xdr:to>
      <xdr:col>74</xdr:col>
      <xdr:colOff>9526</xdr:colOff>
      <xdr:row>53</xdr:row>
      <xdr:rowOff>28575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54</xdr:row>
      <xdr:rowOff>0</xdr:rowOff>
    </xdr:from>
    <xdr:to>
      <xdr:col>37</xdr:col>
      <xdr:colOff>9526</xdr:colOff>
      <xdr:row>79</xdr:row>
      <xdr:rowOff>28575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0</xdr:colOff>
      <xdr:row>54</xdr:row>
      <xdr:rowOff>0</xdr:rowOff>
    </xdr:from>
    <xdr:to>
      <xdr:col>74</xdr:col>
      <xdr:colOff>9526</xdr:colOff>
      <xdr:row>79</xdr:row>
      <xdr:rowOff>28575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2"/>
  <sheetViews>
    <sheetView tabSelected="1" workbookViewId="0"/>
  </sheetViews>
  <sheetFormatPr defaultRowHeight="12.75" x14ac:dyDescent="0.2"/>
  <cols>
    <col min="1" max="16384" width="9.140625" style="53"/>
  </cols>
  <sheetData>
    <row r="1" spans="1:14" ht="18" customHeight="1" x14ac:dyDescent="0.25">
      <c r="A1" s="180" t="s">
        <v>141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18" customHeight="1" x14ac:dyDescent="0.2">
      <c r="A2" s="181" t="s">
        <v>147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ht="18" customHeight="1" x14ac:dyDescent="0.2">
      <c r="A3" s="181" t="s">
        <v>148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ht="18" customHeight="1" x14ac:dyDescent="0.2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5" spans="1:14" ht="18" customHeight="1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ht="18" customHeight="1" x14ac:dyDescent="0.2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14" ht="18" customHeight="1" x14ac:dyDescent="0.2">
      <c r="A7" s="181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</row>
    <row r="8" spans="1:14" ht="18" customHeight="1" x14ac:dyDescent="0.2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</row>
    <row r="9" spans="1:14" ht="18" customHeight="1" x14ac:dyDescent="0.2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</row>
    <row r="10" spans="1:14" ht="18" customHeight="1" x14ac:dyDescent="0.2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</row>
    <row r="11" spans="1:14" ht="18" customHeight="1" x14ac:dyDescent="0.2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</row>
    <row r="12" spans="1:14" x14ac:dyDescent="0.2">
      <c r="A12" s="181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2"/>
  <sheetViews>
    <sheetView workbookViewId="0">
      <selection activeCell="F1" sqref="F1"/>
    </sheetView>
  </sheetViews>
  <sheetFormatPr defaultRowHeight="12.75" x14ac:dyDescent="0.2"/>
  <cols>
    <col min="2" max="6" width="14.5703125" customWidth="1"/>
  </cols>
  <sheetData>
    <row r="1" spans="1:7" ht="26.25" customHeight="1" x14ac:dyDescent="0.2">
      <c r="A1" s="155" t="s">
        <v>72</v>
      </c>
      <c r="B1" s="111"/>
      <c r="C1" s="111"/>
      <c r="D1" s="111"/>
      <c r="E1" s="111"/>
      <c r="F1" s="112"/>
      <c r="G1" s="10"/>
    </row>
    <row r="2" spans="1:7" x14ac:dyDescent="0.2">
      <c r="A2" s="113"/>
      <c r="B2" s="114"/>
      <c r="C2" s="114"/>
      <c r="D2" s="114"/>
      <c r="E2" s="114"/>
      <c r="F2" s="115"/>
      <c r="G2" s="10"/>
    </row>
    <row r="3" spans="1:7" ht="24" customHeight="1" x14ac:dyDescent="0.2">
      <c r="A3" s="185" t="s">
        <v>71</v>
      </c>
      <c r="B3" s="183" t="s">
        <v>73</v>
      </c>
      <c r="C3" s="183"/>
      <c r="D3" s="186" t="s">
        <v>138</v>
      </c>
      <c r="E3" s="183" t="s">
        <v>87</v>
      </c>
      <c r="F3" s="184"/>
      <c r="G3" s="10"/>
    </row>
    <row r="4" spans="1:7" ht="24" x14ac:dyDescent="0.2">
      <c r="A4" s="185"/>
      <c r="B4" s="116" t="s">
        <v>88</v>
      </c>
      <c r="C4" s="116" t="s">
        <v>89</v>
      </c>
      <c r="D4" s="186"/>
      <c r="E4" s="116" t="s">
        <v>90</v>
      </c>
      <c r="F4" s="117" t="s">
        <v>91</v>
      </c>
      <c r="G4" s="10"/>
    </row>
    <row r="5" spans="1:7" x14ac:dyDescent="0.2">
      <c r="A5" s="113">
        <v>1</v>
      </c>
      <c r="B5" s="118">
        <v>21.4</v>
      </c>
      <c r="C5" s="118"/>
      <c r="D5" s="151">
        <f>B5</f>
        <v>21.4</v>
      </c>
      <c r="E5" s="114"/>
      <c r="F5" s="119">
        <v>-251.4</v>
      </c>
      <c r="G5" s="10"/>
    </row>
    <row r="6" spans="1:7" x14ac:dyDescent="0.2">
      <c r="A6" s="113">
        <v>2</v>
      </c>
      <c r="B6" s="118">
        <v>446.3</v>
      </c>
      <c r="C6" s="118"/>
      <c r="D6" s="151">
        <f t="shared" ref="D6:D17" si="0">B6</f>
        <v>446.3</v>
      </c>
      <c r="E6" s="118">
        <v>186</v>
      </c>
      <c r="F6" s="119"/>
      <c r="G6" s="10"/>
    </row>
    <row r="7" spans="1:7" x14ac:dyDescent="0.2">
      <c r="A7" s="113">
        <v>3</v>
      </c>
      <c r="B7" s="118">
        <v>57.7</v>
      </c>
      <c r="C7" s="118"/>
      <c r="D7" s="151">
        <f t="shared" si="0"/>
        <v>57.7</v>
      </c>
      <c r="E7" s="114"/>
      <c r="F7" s="119">
        <v>-220.1</v>
      </c>
      <c r="G7" s="10"/>
    </row>
    <row r="8" spans="1:7" x14ac:dyDescent="0.2">
      <c r="A8" s="113">
        <v>4</v>
      </c>
      <c r="B8" s="118">
        <v>87.9</v>
      </c>
      <c r="C8" s="118"/>
      <c r="D8" s="151">
        <f t="shared" si="0"/>
        <v>87.9</v>
      </c>
      <c r="E8" s="114"/>
      <c r="F8" s="119">
        <v>-190.5</v>
      </c>
      <c r="G8" s="10"/>
    </row>
    <row r="9" spans="1:7" x14ac:dyDescent="0.2">
      <c r="A9" s="113">
        <v>5</v>
      </c>
      <c r="B9" s="118">
        <v>18</v>
      </c>
      <c r="C9" s="118"/>
      <c r="D9" s="151">
        <f t="shared" si="0"/>
        <v>18</v>
      </c>
      <c r="E9" s="114"/>
      <c r="F9" s="119">
        <v>-250.1</v>
      </c>
      <c r="G9" s="10"/>
    </row>
    <row r="10" spans="1:7" x14ac:dyDescent="0.2">
      <c r="A10" s="113">
        <v>6</v>
      </c>
      <c r="B10" s="118">
        <v>24.3</v>
      </c>
      <c r="C10" s="118"/>
      <c r="D10" s="151">
        <f t="shared" si="0"/>
        <v>24.3</v>
      </c>
      <c r="E10" s="114"/>
      <c r="F10" s="119">
        <v>-226.1</v>
      </c>
      <c r="G10" s="10"/>
    </row>
    <row r="11" spans="1:7" x14ac:dyDescent="0.2">
      <c r="A11" s="113">
        <v>7</v>
      </c>
      <c r="B11" s="118">
        <v>37.299999999999997</v>
      </c>
      <c r="C11" s="118"/>
      <c r="D11" s="151">
        <f t="shared" si="0"/>
        <v>37.299999999999997</v>
      </c>
      <c r="E11" s="114"/>
      <c r="F11" s="119">
        <v>-203.3</v>
      </c>
      <c r="G11" s="10"/>
    </row>
    <row r="12" spans="1:7" x14ac:dyDescent="0.2">
      <c r="A12" s="113">
        <v>8</v>
      </c>
      <c r="B12" s="118">
        <v>215.6</v>
      </c>
      <c r="C12" s="118"/>
      <c r="D12" s="151">
        <f t="shared" si="0"/>
        <v>215.6</v>
      </c>
      <c r="E12" s="114"/>
      <c r="F12" s="119">
        <v>-56.5</v>
      </c>
      <c r="G12" s="10"/>
    </row>
    <row r="13" spans="1:7" x14ac:dyDescent="0.2">
      <c r="A13" s="113">
        <v>9</v>
      </c>
      <c r="B13" s="118">
        <v>14.2</v>
      </c>
      <c r="C13" s="118"/>
      <c r="D13" s="151">
        <f t="shared" si="0"/>
        <v>14.2</v>
      </c>
      <c r="E13" s="114"/>
      <c r="F13" s="119">
        <v>-252.6</v>
      </c>
      <c r="G13" s="10"/>
    </row>
    <row r="14" spans="1:7" x14ac:dyDescent="0.2">
      <c r="A14" s="113">
        <v>10</v>
      </c>
      <c r="B14" s="114"/>
      <c r="C14" s="118">
        <v>-11.2</v>
      </c>
      <c r="D14" s="151">
        <f>C14</f>
        <v>-11.2</v>
      </c>
      <c r="E14" s="114"/>
      <c r="F14" s="119">
        <v>-278.60000000000002</v>
      </c>
      <c r="G14" s="10"/>
    </row>
    <row r="15" spans="1:7" x14ac:dyDescent="0.2">
      <c r="A15" s="113">
        <v>11</v>
      </c>
      <c r="B15" s="118">
        <v>251.5</v>
      </c>
      <c r="C15" s="118"/>
      <c r="D15" s="151">
        <f t="shared" si="0"/>
        <v>251.5</v>
      </c>
      <c r="E15" s="114"/>
      <c r="F15" s="119">
        <v>-16.8</v>
      </c>
      <c r="G15" s="10"/>
    </row>
    <row r="16" spans="1:7" x14ac:dyDescent="0.2">
      <c r="A16" s="113">
        <v>12</v>
      </c>
      <c r="B16" s="118">
        <v>432.6</v>
      </c>
      <c r="C16" s="118"/>
      <c r="D16" s="151">
        <f t="shared" si="0"/>
        <v>432.6</v>
      </c>
      <c r="E16" s="118">
        <v>157.69999999999999</v>
      </c>
      <c r="F16" s="119"/>
      <c r="G16" s="10"/>
    </row>
    <row r="17" spans="1:7" x14ac:dyDescent="0.2">
      <c r="A17" s="113">
        <v>13</v>
      </c>
      <c r="B17" s="118">
        <v>447</v>
      </c>
      <c r="C17" s="118"/>
      <c r="D17" s="151">
        <f t="shared" si="0"/>
        <v>447</v>
      </c>
      <c r="E17" s="118">
        <v>216</v>
      </c>
      <c r="F17" s="119"/>
      <c r="G17" s="10"/>
    </row>
    <row r="18" spans="1:7" x14ac:dyDescent="0.2">
      <c r="A18" s="113">
        <v>14</v>
      </c>
      <c r="B18" s="114"/>
      <c r="C18" s="118">
        <v>-57.8</v>
      </c>
      <c r="D18" s="151">
        <f>C18</f>
        <v>-57.8</v>
      </c>
      <c r="E18" s="114"/>
      <c r="F18" s="119">
        <v>-339.3</v>
      </c>
      <c r="G18" s="10"/>
    </row>
    <row r="19" spans="1:7" x14ac:dyDescent="0.2">
      <c r="A19" s="113">
        <v>15</v>
      </c>
      <c r="B19" s="114"/>
      <c r="C19" s="118">
        <v>-17.5</v>
      </c>
      <c r="D19" s="151">
        <f>C19</f>
        <v>-17.5</v>
      </c>
      <c r="E19" s="114"/>
      <c r="F19" s="119">
        <v>-299.3</v>
      </c>
      <c r="G19" s="10"/>
    </row>
    <row r="20" spans="1:7" x14ac:dyDescent="0.2">
      <c r="A20" s="113">
        <v>16</v>
      </c>
      <c r="B20" s="114"/>
      <c r="C20" s="118">
        <v>-79</v>
      </c>
      <c r="D20" s="151">
        <f>C20</f>
        <v>-79</v>
      </c>
      <c r="E20" s="114"/>
      <c r="F20" s="119">
        <v>-343.5</v>
      </c>
      <c r="G20" s="10"/>
    </row>
    <row r="21" spans="1:7" ht="13.5" thickBot="1" x14ac:dyDescent="0.25">
      <c r="A21" s="120">
        <v>17</v>
      </c>
      <c r="B21" s="121">
        <v>153.80000000000001</v>
      </c>
      <c r="C21" s="121"/>
      <c r="D21" s="152">
        <f>B21</f>
        <v>153.80000000000001</v>
      </c>
      <c r="E21" s="122"/>
      <c r="F21" s="123">
        <v>-125.5</v>
      </c>
      <c r="G21" s="10"/>
    </row>
    <row r="22" spans="1:7" x14ac:dyDescent="0.2">
      <c r="A22" s="10"/>
      <c r="B22" s="10"/>
      <c r="C22" s="10"/>
      <c r="D22" s="10"/>
      <c r="E22" s="10"/>
      <c r="F22" s="10"/>
      <c r="G22" s="10"/>
    </row>
  </sheetData>
  <mergeCells count="4">
    <mergeCell ref="E3:F3"/>
    <mergeCell ref="B3:C3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1"/>
  <sheetViews>
    <sheetView zoomScale="90" zoomScaleNormal="90" workbookViewId="0"/>
  </sheetViews>
  <sheetFormatPr defaultRowHeight="12.75" x14ac:dyDescent="0.2"/>
  <cols>
    <col min="1" max="1" width="26.42578125" style="1" customWidth="1"/>
    <col min="2" max="2" width="16.85546875" style="1" customWidth="1"/>
    <col min="3" max="3" width="20" style="1" customWidth="1"/>
    <col min="4" max="4" width="28.28515625" style="8" customWidth="1"/>
    <col min="5" max="5" width="16.140625" style="1" customWidth="1"/>
    <col min="6" max="6" width="18.140625" style="1" customWidth="1"/>
    <col min="7" max="7" width="28.85546875" style="8" customWidth="1"/>
    <col min="8" max="8" width="18.85546875" style="1" customWidth="1"/>
    <col min="12" max="13" width="10.5703125" style="93" customWidth="1"/>
  </cols>
  <sheetData>
    <row r="1" spans="1:13" x14ac:dyDescent="0.2">
      <c r="A1" s="153" t="s">
        <v>0</v>
      </c>
      <c r="B1" s="153" t="s">
        <v>1</v>
      </c>
      <c r="C1" s="153" t="s">
        <v>2</v>
      </c>
      <c r="D1" s="154" t="s">
        <v>3</v>
      </c>
      <c r="E1" s="153" t="s">
        <v>4</v>
      </c>
      <c r="F1" s="153" t="s">
        <v>5</v>
      </c>
      <c r="G1" s="154" t="s">
        <v>6</v>
      </c>
      <c r="H1" s="153" t="s">
        <v>7</v>
      </c>
      <c r="L1" s="96" t="s">
        <v>111</v>
      </c>
      <c r="M1" s="96" t="s">
        <v>111</v>
      </c>
    </row>
    <row r="2" spans="1:13" x14ac:dyDescent="0.2">
      <c r="A2" s="5" t="s">
        <v>8</v>
      </c>
      <c r="B2" s="2">
        <v>1840.8</v>
      </c>
      <c r="C2" s="4">
        <v>5.8420779747261502</v>
      </c>
      <c r="D2" s="6">
        <v>5.5873386627758999</v>
      </c>
      <c r="E2" s="2">
        <v>6192.32</v>
      </c>
      <c r="F2" s="3">
        <v>19.969440568383</v>
      </c>
      <c r="G2" s="7">
        <v>19.243936346237199</v>
      </c>
      <c r="I2" s="9"/>
      <c r="L2" s="94">
        <f>C2/B2</f>
        <v>3.1736625242971264E-3</v>
      </c>
      <c r="M2" s="94">
        <f>F2/E2</f>
        <v>3.2248721914214704E-3</v>
      </c>
    </row>
    <row r="3" spans="1:13" x14ac:dyDescent="0.2">
      <c r="A3" s="5" t="s">
        <v>9</v>
      </c>
      <c r="B3" s="2">
        <v>1810.4</v>
      </c>
      <c r="C3" s="4">
        <v>5.7455986339875098</v>
      </c>
      <c r="D3" s="6">
        <v>5.4908593220372603</v>
      </c>
      <c r="E3" s="2">
        <v>6613.6</v>
      </c>
      <c r="F3" s="3">
        <v>21.3393562198087</v>
      </c>
      <c r="G3" s="7">
        <v>20.613851997662898</v>
      </c>
      <c r="I3" s="9"/>
      <c r="L3" s="94">
        <f t="shared" ref="L3:L51" si="0">C3/B3</f>
        <v>3.173662524297122E-3</v>
      </c>
      <c r="M3" s="94">
        <f t="shared" ref="M3:M52" si="1">F3/E3</f>
        <v>3.2265870660167983E-3</v>
      </c>
    </row>
    <row r="4" spans="1:13" x14ac:dyDescent="0.2">
      <c r="A4" s="5" t="s">
        <v>10</v>
      </c>
      <c r="B4" s="2">
        <v>1596.8</v>
      </c>
      <c r="C4" s="4">
        <v>5.0677043187976496</v>
      </c>
      <c r="D4" s="6">
        <v>4.8129650068474001</v>
      </c>
      <c r="E4" s="2">
        <v>6224.7199999999993</v>
      </c>
      <c r="F4" s="3">
        <v>20.092409225229499</v>
      </c>
      <c r="G4" s="7">
        <v>19.366905003083701</v>
      </c>
      <c r="I4" s="9"/>
      <c r="L4" s="94">
        <f t="shared" si="0"/>
        <v>3.1736625242971255E-3</v>
      </c>
      <c r="M4" s="94">
        <f t="shared" si="1"/>
        <v>3.2278414491301618E-3</v>
      </c>
    </row>
    <row r="5" spans="1:13" x14ac:dyDescent="0.2">
      <c r="A5" s="5" t="s">
        <v>11</v>
      </c>
      <c r="B5" s="2">
        <v>900</v>
      </c>
      <c r="C5" s="4">
        <v>2.8866398348780602</v>
      </c>
      <c r="D5" s="6">
        <v>2.6291943266415299</v>
      </c>
      <c r="E5" s="2">
        <v>3240.56</v>
      </c>
      <c r="F5" s="3">
        <v>10.5660742223152</v>
      </c>
      <c r="G5" s="7">
        <v>9.8328626823760796</v>
      </c>
      <c r="I5" s="9"/>
      <c r="L5" s="94">
        <f t="shared" si="0"/>
        <v>3.2073775943089558E-3</v>
      </c>
      <c r="M5" s="94">
        <f t="shared" si="1"/>
        <v>3.2605704638442737E-3</v>
      </c>
    </row>
    <row r="6" spans="1:13" x14ac:dyDescent="0.2">
      <c r="A6" s="5" t="s">
        <v>12</v>
      </c>
      <c r="B6" s="2">
        <v>913.6</v>
      </c>
      <c r="C6" s="4">
        <v>2.9302601701606701</v>
      </c>
      <c r="D6" s="6">
        <v>2.67281466192413</v>
      </c>
      <c r="E6" s="2">
        <v>3311.84</v>
      </c>
      <c r="F6" s="3">
        <v>10.7989440429634</v>
      </c>
      <c r="G6" s="7">
        <v>10.0657325030243</v>
      </c>
      <c r="I6" s="9"/>
      <c r="L6" s="94">
        <f t="shared" si="0"/>
        <v>3.2073775943089644E-3</v>
      </c>
      <c r="M6" s="94">
        <f t="shared" si="1"/>
        <v>3.2607082597478744E-3</v>
      </c>
    </row>
    <row r="7" spans="1:13" x14ac:dyDescent="0.2">
      <c r="A7" s="5" t="s">
        <v>13</v>
      </c>
      <c r="B7" s="2">
        <v>1011.2</v>
      </c>
      <c r="C7" s="4">
        <v>3.2433002233652202</v>
      </c>
      <c r="D7" s="6">
        <v>2.9858547151286898</v>
      </c>
      <c r="E7" s="2">
        <v>3429.36</v>
      </c>
      <c r="F7" s="3">
        <v>11.177342101516199</v>
      </c>
      <c r="G7" s="7">
        <v>10.444130561577101</v>
      </c>
      <c r="I7" s="9"/>
      <c r="L7" s="94">
        <f t="shared" si="0"/>
        <v>3.2073775943089597E-3</v>
      </c>
      <c r="M7" s="94">
        <f t="shared" si="1"/>
        <v>3.2593084719936662E-3</v>
      </c>
    </row>
    <row r="8" spans="1:13" x14ac:dyDescent="0.2">
      <c r="A8" s="5" t="s">
        <v>14</v>
      </c>
      <c r="B8" s="2">
        <v>1544.8</v>
      </c>
      <c r="C8" s="4">
        <v>4.9131733137994598</v>
      </c>
      <c r="D8" s="6">
        <v>4.6578884583785003</v>
      </c>
      <c r="E8" s="2">
        <v>4936.4800000000005</v>
      </c>
      <c r="F8" s="3">
        <v>15.9479629523934</v>
      </c>
      <c r="G8" s="7">
        <v>15.2209050081764</v>
      </c>
      <c r="I8" s="9"/>
      <c r="L8" s="94">
        <f t="shared" si="0"/>
        <v>3.1804591622212972E-3</v>
      </c>
      <c r="M8" s="94">
        <f t="shared" si="1"/>
        <v>3.2306345720824149E-3</v>
      </c>
    </row>
    <row r="9" spans="1:13" x14ac:dyDescent="0.2">
      <c r="A9" s="5" t="s">
        <v>15</v>
      </c>
      <c r="B9" s="2">
        <v>1613.6</v>
      </c>
      <c r="C9" s="4">
        <v>5.1319889041602904</v>
      </c>
      <c r="D9" s="6">
        <v>4.8767040487393301</v>
      </c>
      <c r="E9" s="2">
        <v>4867.84</v>
      </c>
      <c r="F9" s="3">
        <v>15.719619173966899</v>
      </c>
      <c r="G9" s="7">
        <v>14.992561229750001</v>
      </c>
      <c r="I9" s="9"/>
      <c r="L9" s="94">
        <f t="shared" si="0"/>
        <v>3.1804591622213007E-3</v>
      </c>
      <c r="M9" s="94">
        <f t="shared" si="1"/>
        <v>3.2292801681992216E-3</v>
      </c>
    </row>
    <row r="10" spans="1:13" x14ac:dyDescent="0.2">
      <c r="A10" s="5" t="s">
        <v>16</v>
      </c>
      <c r="B10" s="2">
        <v>1924.8</v>
      </c>
      <c r="C10" s="4">
        <v>6.12174779544356</v>
      </c>
      <c r="D10" s="6">
        <v>5.8664629400225898</v>
      </c>
      <c r="E10" s="2">
        <v>5103.12</v>
      </c>
      <c r="F10" s="3">
        <v>16.462373268405599</v>
      </c>
      <c r="G10" s="7">
        <v>15.735315324188599</v>
      </c>
      <c r="I10" s="9"/>
      <c r="L10" s="94">
        <f t="shared" si="0"/>
        <v>3.1804591622213011E-3</v>
      </c>
      <c r="M10" s="94">
        <f t="shared" si="1"/>
        <v>3.2259428091844988E-3</v>
      </c>
    </row>
    <row r="11" spans="1:13" x14ac:dyDescent="0.2">
      <c r="A11" s="5" t="s">
        <v>17</v>
      </c>
      <c r="B11" s="2">
        <v>1780</v>
      </c>
      <c r="C11" s="4">
        <v>5.6628561511877598</v>
      </c>
      <c r="D11" s="6">
        <v>5.4074973944076099</v>
      </c>
      <c r="E11" s="2">
        <v>4790.6399999999994</v>
      </c>
      <c r="F11" s="3">
        <v>15.4607723205343</v>
      </c>
      <c r="G11" s="7">
        <v>14.7335039033138</v>
      </c>
      <c r="I11" s="9"/>
      <c r="L11" s="94">
        <f t="shared" si="0"/>
        <v>3.1813798602178425E-3</v>
      </c>
      <c r="M11" s="94">
        <f t="shared" si="1"/>
        <v>3.227287443960369E-3</v>
      </c>
    </row>
    <row r="12" spans="1:13" x14ac:dyDescent="0.2">
      <c r="A12" s="5" t="s">
        <v>18</v>
      </c>
      <c r="B12" s="2">
        <v>1776.8</v>
      </c>
      <c r="C12" s="4">
        <v>5.6526757356350599</v>
      </c>
      <c r="D12" s="6">
        <v>5.39731697885491</v>
      </c>
      <c r="E12" s="2">
        <v>4857.84</v>
      </c>
      <c r="F12" s="3">
        <v>15.6797037543963</v>
      </c>
      <c r="G12" s="7">
        <v>14.9524353371758</v>
      </c>
      <c r="I12" s="9"/>
      <c r="L12" s="94">
        <f t="shared" si="0"/>
        <v>3.1813798602178412E-3</v>
      </c>
      <c r="M12" s="94">
        <f t="shared" si="1"/>
        <v>3.227711030910096E-3</v>
      </c>
    </row>
    <row r="13" spans="1:13" x14ac:dyDescent="0.2">
      <c r="A13" s="5" t="s">
        <v>19</v>
      </c>
      <c r="B13" s="2">
        <v>1486.3999999999999</v>
      </c>
      <c r="C13" s="4">
        <v>4.7288030242278003</v>
      </c>
      <c r="D13" s="6">
        <v>4.4734442674476496</v>
      </c>
      <c r="E13" s="2">
        <v>4463.2</v>
      </c>
      <c r="F13" s="3">
        <v>14.416589293230601</v>
      </c>
      <c r="G13" s="7">
        <v>13.6893208760101</v>
      </c>
      <c r="I13" s="9"/>
      <c r="L13" s="94">
        <f t="shared" si="0"/>
        <v>3.1813798602178421E-3</v>
      </c>
      <c r="M13" s="94">
        <f t="shared" si="1"/>
        <v>3.2301015623836262E-3</v>
      </c>
    </row>
    <row r="14" spans="1:13" x14ac:dyDescent="0.2">
      <c r="A14" s="5" t="s">
        <v>20</v>
      </c>
      <c r="B14" s="2">
        <v>2818.4</v>
      </c>
      <c r="C14" s="4">
        <v>8.9508541231118102</v>
      </c>
      <c r="D14" s="6">
        <v>8.6959381337980997</v>
      </c>
      <c r="E14" s="2">
        <v>9651.1999999999989</v>
      </c>
      <c r="F14" s="3">
        <v>31.149164651227899</v>
      </c>
      <c r="G14" s="7">
        <v>30.4231572473306</v>
      </c>
      <c r="L14" s="94">
        <f t="shared" si="0"/>
        <v>3.1758636542406366E-3</v>
      </c>
      <c r="M14" s="94">
        <f t="shared" si="1"/>
        <v>3.227491363895464E-3</v>
      </c>
    </row>
    <row r="15" spans="1:13" x14ac:dyDescent="0.2">
      <c r="A15" s="5" t="s">
        <v>21</v>
      </c>
      <c r="B15" s="2">
        <v>2960</v>
      </c>
      <c r="C15" s="4">
        <v>9.4005564165522895</v>
      </c>
      <c r="D15" s="6">
        <v>9.1456404272385701</v>
      </c>
      <c r="E15" s="2">
        <v>8004</v>
      </c>
      <c r="F15" s="3">
        <v>25.787437095603</v>
      </c>
      <c r="G15" s="7">
        <v>25.061429691705701</v>
      </c>
      <c r="L15" s="94">
        <f t="shared" si="0"/>
        <v>3.1758636542406384E-3</v>
      </c>
      <c r="M15" s="94">
        <f t="shared" si="1"/>
        <v>3.2218187275865817E-3</v>
      </c>
    </row>
    <row r="16" spans="1:13" x14ac:dyDescent="0.2">
      <c r="A16" s="5" t="s">
        <v>22</v>
      </c>
      <c r="B16" s="2">
        <v>854.40000000000009</v>
      </c>
      <c r="C16" s="4">
        <v>2.7134579061832</v>
      </c>
      <c r="D16" s="6">
        <v>2.45854191686949</v>
      </c>
      <c r="E16" s="2">
        <v>10765.599999999999</v>
      </c>
      <c r="F16" s="3">
        <v>34.9128337559467</v>
      </c>
      <c r="G16" s="7">
        <v>34.186826352049401</v>
      </c>
      <c r="L16" s="94">
        <f t="shared" si="0"/>
        <v>3.1758636542406366E-3</v>
      </c>
      <c r="M16" s="94">
        <f t="shared" si="1"/>
        <v>3.2429993456887405E-3</v>
      </c>
    </row>
    <row r="17" spans="1:13" x14ac:dyDescent="0.2">
      <c r="A17" s="5" t="s">
        <v>23</v>
      </c>
      <c r="B17" s="2">
        <v>2288.8000000000002</v>
      </c>
      <c r="C17" s="4">
        <v>7.2722792467960096</v>
      </c>
      <c r="D17" s="6">
        <v>7.0172453363584504</v>
      </c>
      <c r="E17" s="2">
        <v>7259.52</v>
      </c>
      <c r="F17" s="3">
        <v>23.428559076725499</v>
      </c>
      <c r="G17" s="7">
        <v>22.7022158303838</v>
      </c>
      <c r="L17" s="94">
        <f t="shared" si="0"/>
        <v>3.1773327712320905E-3</v>
      </c>
      <c r="M17" s="94">
        <f t="shared" si="1"/>
        <v>3.2272876273810799E-3</v>
      </c>
    </row>
    <row r="18" spans="1:13" x14ac:dyDescent="0.2">
      <c r="A18" s="5" t="s">
        <v>24</v>
      </c>
      <c r="B18" s="2">
        <v>2637.6</v>
      </c>
      <c r="C18" s="4">
        <v>8.3805329174017604</v>
      </c>
      <c r="D18" s="6">
        <v>8.1254990069641995</v>
      </c>
      <c r="E18" s="2">
        <v>6618.24</v>
      </c>
      <c r="F18" s="3">
        <v>21.318765958532701</v>
      </c>
      <c r="G18" s="7">
        <v>20.592422712190999</v>
      </c>
      <c r="L18" s="94">
        <f t="shared" si="0"/>
        <v>3.1773327712320901E-3</v>
      </c>
      <c r="M18" s="94">
        <f t="shared" si="1"/>
        <v>3.2212137907559565E-3</v>
      </c>
    </row>
    <row r="19" spans="1:13" x14ac:dyDescent="0.2">
      <c r="A19" s="5" t="s">
        <v>25</v>
      </c>
      <c r="B19" s="2">
        <v>1902.4</v>
      </c>
      <c r="C19" s="4">
        <v>6.0445578639919297</v>
      </c>
      <c r="D19" s="6">
        <v>5.7895239535543697</v>
      </c>
      <c r="E19" s="2">
        <v>6105.2</v>
      </c>
      <c r="F19" s="3">
        <v>19.704875256487899</v>
      </c>
      <c r="G19" s="7">
        <v>18.9785320101462</v>
      </c>
      <c r="L19" s="94">
        <f t="shared" si="0"/>
        <v>3.1773327712320909E-3</v>
      </c>
      <c r="M19" s="94">
        <f t="shared" si="1"/>
        <v>3.2275560598322576E-3</v>
      </c>
    </row>
    <row r="20" spans="1:13" x14ac:dyDescent="0.2">
      <c r="A20" s="5" t="s">
        <v>26</v>
      </c>
      <c r="B20" s="2">
        <v>1913.6</v>
      </c>
      <c r="C20" s="4">
        <v>6.0815506177492002</v>
      </c>
      <c r="D20" s="6">
        <v>5.8264577058285596</v>
      </c>
      <c r="E20" s="2">
        <v>5580.08</v>
      </c>
      <c r="F20" s="3">
        <v>18.001429656170401</v>
      </c>
      <c r="G20" s="7">
        <v>17.274918372061901</v>
      </c>
      <c r="L20" s="94">
        <f t="shared" si="0"/>
        <v>3.1780678395428516E-3</v>
      </c>
      <c r="M20" s="94">
        <f t="shared" si="1"/>
        <v>3.2260164112647852E-3</v>
      </c>
    </row>
    <row r="21" spans="1:13" x14ac:dyDescent="0.2">
      <c r="A21" s="5" t="s">
        <v>27</v>
      </c>
      <c r="B21" s="2">
        <v>1819.1999999999998</v>
      </c>
      <c r="C21" s="4">
        <v>5.7815410136963603</v>
      </c>
      <c r="D21" s="6">
        <v>5.5264481017757197</v>
      </c>
      <c r="E21" s="2">
        <v>5496.08</v>
      </c>
      <c r="F21" s="3">
        <v>17.735230884850701</v>
      </c>
      <c r="G21" s="7">
        <v>17.0087196007422</v>
      </c>
      <c r="L21" s="94">
        <f t="shared" si="0"/>
        <v>3.1780678395428546E-3</v>
      </c>
      <c r="M21" s="94">
        <f t="shared" si="1"/>
        <v>3.2268873242112016E-3</v>
      </c>
    </row>
    <row r="22" spans="1:13" x14ac:dyDescent="0.2">
      <c r="A22" s="5" t="s">
        <v>28</v>
      </c>
      <c r="B22" s="2">
        <v>1621.6</v>
      </c>
      <c r="C22" s="4">
        <v>5.1535548086026903</v>
      </c>
      <c r="D22" s="6">
        <v>4.8984618966820497</v>
      </c>
      <c r="E22" s="2">
        <v>5542.4</v>
      </c>
      <c r="F22" s="3">
        <v>17.900238749014701</v>
      </c>
      <c r="G22" s="7">
        <v>17.1737274649062</v>
      </c>
      <c r="L22" s="94">
        <f t="shared" si="0"/>
        <v>3.1780678395428529E-3</v>
      </c>
      <c r="M22" s="94">
        <f t="shared" si="1"/>
        <v>3.2296908828331953E-3</v>
      </c>
    </row>
    <row r="23" spans="1:13" x14ac:dyDescent="0.2">
      <c r="A23" s="5" t="s">
        <v>29</v>
      </c>
      <c r="B23" s="2">
        <v>1848.8</v>
      </c>
      <c r="C23" s="4">
        <v>5.8861653860618999</v>
      </c>
      <c r="D23" s="6">
        <v>5.6306142853544703</v>
      </c>
      <c r="E23" s="2">
        <v>4841.76</v>
      </c>
      <c r="F23" s="3">
        <v>15.6338799854323</v>
      </c>
      <c r="G23" s="7">
        <v>14.906063767676899</v>
      </c>
      <c r="L23" s="94">
        <f t="shared" si="0"/>
        <v>3.1837761716042297E-3</v>
      </c>
      <c r="M23" s="94">
        <f t="shared" si="1"/>
        <v>3.2289663232858089E-3</v>
      </c>
    </row>
    <row r="24" spans="1:13" x14ac:dyDescent="0.2">
      <c r="A24" s="5" t="s">
        <v>30</v>
      </c>
      <c r="B24" s="2">
        <v>1920</v>
      </c>
      <c r="C24" s="4">
        <v>6.11285024948012</v>
      </c>
      <c r="D24" s="6">
        <v>5.8572991487726904</v>
      </c>
      <c r="E24" s="2">
        <v>5516.56</v>
      </c>
      <c r="F24" s="3">
        <v>17.826418228842201</v>
      </c>
      <c r="G24" s="7">
        <v>17.0986020110868</v>
      </c>
      <c r="L24" s="94">
        <f t="shared" si="0"/>
        <v>3.1837761716042292E-3</v>
      </c>
      <c r="M24" s="94">
        <f t="shared" si="1"/>
        <v>3.2314373864948806E-3</v>
      </c>
    </row>
    <row r="25" spans="1:13" x14ac:dyDescent="0.2">
      <c r="A25" s="5" t="s">
        <v>31</v>
      </c>
      <c r="B25" s="2">
        <v>2076.8000000000002</v>
      </c>
      <c r="C25" s="4">
        <v>6.6120663531876698</v>
      </c>
      <c r="D25" s="6">
        <v>6.3565152524802304</v>
      </c>
      <c r="E25" s="2">
        <v>4540.16</v>
      </c>
      <c r="F25" s="3">
        <v>14.6349367675951</v>
      </c>
      <c r="G25" s="7">
        <v>13.9071205498397</v>
      </c>
      <c r="L25" s="94">
        <f t="shared" si="0"/>
        <v>3.1837761716042323E-3</v>
      </c>
      <c r="M25" s="94">
        <f t="shared" si="1"/>
        <v>3.2234407526596201E-3</v>
      </c>
    </row>
    <row r="26" spans="1:13" x14ac:dyDescent="0.2">
      <c r="A26" s="5" t="s">
        <v>32</v>
      </c>
      <c r="B26" s="2">
        <v>3667.2</v>
      </c>
      <c r="C26" s="3">
        <v>11.674191152914601</v>
      </c>
      <c r="D26" s="7">
        <v>11.4186696624385</v>
      </c>
      <c r="E26" s="2">
        <v>11349.6</v>
      </c>
      <c r="F26" s="3">
        <v>36.691954756411498</v>
      </c>
      <c r="G26" s="7">
        <v>35.964222869369301</v>
      </c>
      <c r="L26" s="94">
        <f t="shared" si="0"/>
        <v>3.1834072733733097E-3</v>
      </c>
      <c r="M26" s="94">
        <f t="shared" si="1"/>
        <v>3.2328852784601655E-3</v>
      </c>
    </row>
    <row r="27" spans="1:13" x14ac:dyDescent="0.2">
      <c r="A27" s="5" t="s">
        <v>33</v>
      </c>
      <c r="B27" s="2">
        <v>3611.2000000000003</v>
      </c>
      <c r="C27" s="3">
        <v>11.4959203456057</v>
      </c>
      <c r="D27" s="7">
        <v>11.2403988551296</v>
      </c>
      <c r="E27" s="2">
        <v>11116.8</v>
      </c>
      <c r="F27" s="3">
        <v>35.9379341046401</v>
      </c>
      <c r="G27" s="7">
        <v>35.210202217597903</v>
      </c>
      <c r="L27" s="94">
        <f t="shared" si="0"/>
        <v>3.1834072733733106E-3</v>
      </c>
      <c r="M27" s="94">
        <f t="shared" si="1"/>
        <v>3.2327588968624156E-3</v>
      </c>
    </row>
    <row r="28" spans="1:13" x14ac:dyDescent="0.2">
      <c r="A28" s="5" t="s">
        <v>34</v>
      </c>
      <c r="B28" s="2">
        <v>3971.2000000000003</v>
      </c>
      <c r="C28" s="3">
        <v>12.6419469640201</v>
      </c>
      <c r="D28" s="7">
        <v>12.386425473544</v>
      </c>
      <c r="E28" s="2">
        <v>11656.800000000001</v>
      </c>
      <c r="F28" s="3">
        <v>37.670131379181399</v>
      </c>
      <c r="G28" s="7">
        <v>36.942399492139202</v>
      </c>
      <c r="L28" s="94">
        <f t="shared" si="0"/>
        <v>3.1834072733733128E-3</v>
      </c>
      <c r="M28" s="94">
        <f t="shared" si="1"/>
        <v>3.231601415412583E-3</v>
      </c>
    </row>
    <row r="29" spans="1:13" x14ac:dyDescent="0.2">
      <c r="A29" s="5" t="s">
        <v>35</v>
      </c>
      <c r="B29" s="2">
        <v>3089.6</v>
      </c>
      <c r="C29" s="4">
        <v>9.8308987599210695</v>
      </c>
      <c r="D29" s="6">
        <v>9.5754956417839896</v>
      </c>
      <c r="E29" s="2">
        <v>17290.400000000001</v>
      </c>
      <c r="F29" s="3">
        <v>56.054432384134202</v>
      </c>
      <c r="G29" s="7">
        <v>55.327037624609098</v>
      </c>
      <c r="L29" s="94">
        <f t="shared" si="0"/>
        <v>3.1819325349304343E-3</v>
      </c>
      <c r="M29" s="94">
        <f t="shared" si="1"/>
        <v>3.2419395956215123E-3</v>
      </c>
    </row>
    <row r="30" spans="1:13" x14ac:dyDescent="0.2">
      <c r="A30" s="5" t="s">
        <v>36</v>
      </c>
      <c r="B30" s="2">
        <v>4064.8</v>
      </c>
      <c r="C30" s="3">
        <v>12.933919367985199</v>
      </c>
      <c r="D30" s="7">
        <v>12.678516249848199</v>
      </c>
      <c r="E30" s="2">
        <v>12871.2</v>
      </c>
      <c r="F30" s="3">
        <v>41.598707725561603</v>
      </c>
      <c r="G30" s="7">
        <v>40.871312966036498</v>
      </c>
      <c r="L30" s="94">
        <f t="shared" si="0"/>
        <v>3.1819325349304269E-3</v>
      </c>
      <c r="M30" s="94">
        <f t="shared" si="1"/>
        <v>3.2319214778390205E-3</v>
      </c>
    </row>
    <row r="31" spans="1:13" x14ac:dyDescent="0.2">
      <c r="A31" s="5" t="s">
        <v>37</v>
      </c>
      <c r="B31" s="2">
        <v>3125.6</v>
      </c>
      <c r="C31" s="4">
        <v>9.9454483311785697</v>
      </c>
      <c r="D31" s="6">
        <v>9.6900452130414898</v>
      </c>
      <c r="E31" s="2">
        <v>13666.4</v>
      </c>
      <c r="F31" s="3">
        <v>44.255700093481103</v>
      </c>
      <c r="G31" s="7">
        <v>43.528305333955998</v>
      </c>
      <c r="L31" s="94">
        <f t="shared" si="0"/>
        <v>3.1819325349304356E-3</v>
      </c>
      <c r="M31" s="94">
        <f t="shared" si="1"/>
        <v>3.2382851441111853E-3</v>
      </c>
    </row>
    <row r="32" spans="1:13" x14ac:dyDescent="0.2">
      <c r="A32" s="5" t="s">
        <v>38</v>
      </c>
      <c r="B32" s="2">
        <v>1498.3999999999999</v>
      </c>
      <c r="C32" s="4">
        <v>4.7716761141625703</v>
      </c>
      <c r="D32" s="6">
        <v>4.5160657724001698</v>
      </c>
      <c r="E32" s="2">
        <v>5324</v>
      </c>
      <c r="F32" s="3">
        <v>17.234088448741399</v>
      </c>
      <c r="G32" s="7">
        <v>16.506103510912201</v>
      </c>
      <c r="L32" s="94">
        <f t="shared" si="0"/>
        <v>3.1845142246146362E-3</v>
      </c>
      <c r="M32" s="94">
        <f t="shared" si="1"/>
        <v>3.2370564328965813E-3</v>
      </c>
    </row>
    <row r="33" spans="1:13" x14ac:dyDescent="0.2">
      <c r="A33" s="5" t="s">
        <v>39</v>
      </c>
      <c r="B33" s="2">
        <v>1754.3999999999999</v>
      </c>
      <c r="C33" s="4">
        <v>5.5869117556639196</v>
      </c>
      <c r="D33" s="6">
        <v>5.33130141390152</v>
      </c>
      <c r="E33" s="2">
        <v>4894.5600000000004</v>
      </c>
      <c r="F33" s="3">
        <v>15.8164100609104</v>
      </c>
      <c r="G33" s="7">
        <v>15.088425123081301</v>
      </c>
      <c r="L33" s="94">
        <f t="shared" si="0"/>
        <v>3.1845142246146375E-3</v>
      </c>
      <c r="M33" s="94">
        <f t="shared" si="1"/>
        <v>3.2314263306426724E-3</v>
      </c>
    </row>
    <row r="34" spans="1:13" x14ac:dyDescent="0.2">
      <c r="A34" s="5" t="s">
        <v>40</v>
      </c>
      <c r="B34" s="2">
        <v>1830.4</v>
      </c>
      <c r="C34" s="4">
        <v>5.8289348367346303</v>
      </c>
      <c r="D34" s="6">
        <v>5.5733244949722298</v>
      </c>
      <c r="E34" s="2">
        <v>5265.04</v>
      </c>
      <c r="F34" s="3">
        <v>17.017741795339301</v>
      </c>
      <c r="G34" s="7">
        <v>16.289756857510099</v>
      </c>
      <c r="L34" s="94">
        <f t="shared" si="0"/>
        <v>3.1845142246146362E-3</v>
      </c>
      <c r="M34" s="94">
        <f t="shared" si="1"/>
        <v>3.2322151009943519E-3</v>
      </c>
    </row>
    <row r="35" spans="1:13" x14ac:dyDescent="0.2">
      <c r="A35" s="5" t="s">
        <v>41</v>
      </c>
      <c r="B35" s="2">
        <v>1159.2</v>
      </c>
      <c r="C35" s="4">
        <v>3.71149287860871</v>
      </c>
      <c r="D35" s="6">
        <v>3.4544973974812101</v>
      </c>
      <c r="E35" s="2">
        <v>3267.76</v>
      </c>
      <c r="F35" s="3">
        <v>10.617636203421</v>
      </c>
      <c r="G35" s="6">
        <v>9.88570635245717</v>
      </c>
      <c r="L35" s="94">
        <f t="shared" si="0"/>
        <v>3.2017709442794255E-3</v>
      </c>
      <c r="M35" s="94">
        <f t="shared" si="1"/>
        <v>3.2492093065038434E-3</v>
      </c>
    </row>
    <row r="36" spans="1:13" x14ac:dyDescent="0.2">
      <c r="A36" s="5" t="s">
        <v>42</v>
      </c>
      <c r="B36" s="2">
        <v>1036.8</v>
      </c>
      <c r="C36" s="4">
        <v>3.3195961150289102</v>
      </c>
      <c r="D36" s="6">
        <v>3.0626006339014098</v>
      </c>
      <c r="E36" s="2">
        <v>3394.0800000000004</v>
      </c>
      <c r="F36" s="3">
        <v>11.040369314138101</v>
      </c>
      <c r="G36" s="7">
        <v>10.308439463174199</v>
      </c>
      <c r="L36" s="94">
        <f t="shared" si="0"/>
        <v>3.2017709442794273E-3</v>
      </c>
      <c r="M36" s="94">
        <f t="shared" si="1"/>
        <v>3.2528311984803245E-3</v>
      </c>
    </row>
    <row r="37" spans="1:13" x14ac:dyDescent="0.2">
      <c r="A37" s="5" t="s">
        <v>43</v>
      </c>
      <c r="B37" s="2">
        <v>1143.2</v>
      </c>
      <c r="C37" s="4">
        <v>3.6602645435002401</v>
      </c>
      <c r="D37" s="6">
        <v>3.4032690623727402</v>
      </c>
      <c r="E37" s="2">
        <v>3283.68</v>
      </c>
      <c r="F37" s="3">
        <v>10.6709550924504</v>
      </c>
      <c r="G37" s="6">
        <v>9.9390252414864992</v>
      </c>
      <c r="L37" s="94">
        <f t="shared" si="0"/>
        <v>3.201770944279426E-3</v>
      </c>
      <c r="M37" s="94">
        <f t="shared" si="1"/>
        <v>3.2496939690988161E-3</v>
      </c>
    </row>
    <row r="38" spans="1:13" x14ac:dyDescent="0.2">
      <c r="A38" s="5" t="s">
        <v>44</v>
      </c>
      <c r="B38" s="2">
        <v>918.4</v>
      </c>
      <c r="C38" s="4">
        <v>2.9411919478569302</v>
      </c>
      <c r="D38" s="6">
        <v>2.68413655404016</v>
      </c>
      <c r="E38" s="2">
        <v>3431.92</v>
      </c>
      <c r="F38" s="3">
        <v>11.1756155190577</v>
      </c>
      <c r="G38" s="7">
        <v>10.443515035188</v>
      </c>
      <c r="L38" s="94">
        <f t="shared" si="0"/>
        <v>3.202517364826797E-3</v>
      </c>
      <c r="M38" s="94">
        <f t="shared" si="1"/>
        <v>3.2563741343206425E-3</v>
      </c>
    </row>
    <row r="39" spans="1:13" x14ac:dyDescent="0.2">
      <c r="A39" s="5" t="s">
        <v>45</v>
      </c>
      <c r="B39" s="2">
        <v>1033.6000000000001</v>
      </c>
      <c r="C39" s="4">
        <v>3.3101219482849702</v>
      </c>
      <c r="D39" s="6">
        <v>3.0530665544682098</v>
      </c>
      <c r="E39" s="2">
        <v>3515.2000000000003</v>
      </c>
      <c r="F39" s="3">
        <v>11.4399739225251</v>
      </c>
      <c r="G39" s="7">
        <v>10.707873438655399</v>
      </c>
      <c r="L39" s="94">
        <f t="shared" si="0"/>
        <v>3.2025173648267896E-3</v>
      </c>
      <c r="M39" s="94">
        <f t="shared" si="1"/>
        <v>3.2544304513328114E-3</v>
      </c>
    </row>
    <row r="40" spans="1:13" x14ac:dyDescent="0.2">
      <c r="A40" s="5" t="s">
        <v>46</v>
      </c>
      <c r="B40" s="2">
        <v>944.8</v>
      </c>
      <c r="C40" s="4">
        <v>3.0257384062883501</v>
      </c>
      <c r="D40" s="6">
        <v>2.7686830124715902</v>
      </c>
      <c r="E40" s="2">
        <v>3364.56</v>
      </c>
      <c r="F40" s="3">
        <v>10.952999291679699</v>
      </c>
      <c r="G40" s="7">
        <v>10.22089880781</v>
      </c>
      <c r="L40" s="94">
        <f t="shared" si="0"/>
        <v>3.2025173648267892E-3</v>
      </c>
      <c r="M40" s="94">
        <f t="shared" si="1"/>
        <v>3.2554031706017129E-3</v>
      </c>
    </row>
    <row r="41" spans="1:13" x14ac:dyDescent="0.2">
      <c r="A41" s="5" t="s">
        <v>47</v>
      </c>
      <c r="B41" s="2">
        <v>2571.2000000000003</v>
      </c>
      <c r="C41" s="4">
        <v>8.1927710305580401</v>
      </c>
      <c r="D41" s="6">
        <v>7.9370124659243499</v>
      </c>
      <c r="E41" s="2">
        <v>8576.8000000000011</v>
      </c>
      <c r="F41" s="3">
        <v>27.768174647043899</v>
      </c>
      <c r="G41" s="7">
        <v>27.039767566601199</v>
      </c>
      <c r="L41" s="94">
        <f t="shared" si="0"/>
        <v>3.1863608550707994E-3</v>
      </c>
      <c r="M41" s="94">
        <f t="shared" si="1"/>
        <v>3.2375914848246311E-3</v>
      </c>
    </row>
    <row r="42" spans="1:13" x14ac:dyDescent="0.2">
      <c r="A42" s="5" t="s">
        <v>48</v>
      </c>
      <c r="B42" s="2">
        <v>2159.1999999999998</v>
      </c>
      <c r="C42" s="4">
        <v>6.87999035826887</v>
      </c>
      <c r="D42" s="6">
        <v>6.6242317936351798</v>
      </c>
      <c r="E42" s="2">
        <v>7242.6399999999994</v>
      </c>
      <c r="F42" s="3">
        <v>23.449590358300402</v>
      </c>
      <c r="G42" s="7">
        <v>22.721183277857602</v>
      </c>
      <c r="L42" s="94">
        <f t="shared" si="0"/>
        <v>3.1863608550707998E-3</v>
      </c>
      <c r="M42" s="94">
        <f t="shared" si="1"/>
        <v>3.2377130933334258E-3</v>
      </c>
    </row>
    <row r="43" spans="1:13" x14ac:dyDescent="0.2">
      <c r="A43" s="5" t="s">
        <v>49</v>
      </c>
      <c r="B43" s="2">
        <v>2587.2000000000003</v>
      </c>
      <c r="C43" s="4">
        <v>8.2437528042391701</v>
      </c>
      <c r="D43" s="6">
        <v>7.9879942396054897</v>
      </c>
      <c r="E43" s="2">
        <v>7636.4</v>
      </c>
      <c r="F43" s="3">
        <v>24.701746666694302</v>
      </c>
      <c r="G43" s="7">
        <v>23.973339586251502</v>
      </c>
      <c r="L43" s="94">
        <f t="shared" si="0"/>
        <v>3.1863608550707981E-3</v>
      </c>
      <c r="M43" s="94">
        <f t="shared" si="1"/>
        <v>3.2347371361759864E-3</v>
      </c>
    </row>
    <row r="44" spans="1:13" x14ac:dyDescent="0.2">
      <c r="A44" s="5" t="s">
        <v>50</v>
      </c>
      <c r="B44" s="2">
        <v>2736</v>
      </c>
      <c r="C44" s="4">
        <v>8.7239538965589105</v>
      </c>
      <c r="D44" s="6">
        <v>8.4680172374103506</v>
      </c>
      <c r="E44" s="2">
        <v>9276</v>
      </c>
      <c r="F44" s="3">
        <v>30.0560917483383</v>
      </c>
      <c r="G44" s="7">
        <v>29.3271774500597</v>
      </c>
      <c r="L44" s="94">
        <f t="shared" si="0"/>
        <v>3.1885796405551575E-3</v>
      </c>
      <c r="M44" s="94">
        <f t="shared" si="1"/>
        <v>3.2401996278933055E-3</v>
      </c>
    </row>
    <row r="45" spans="1:13" x14ac:dyDescent="0.2">
      <c r="A45" s="5" t="s">
        <v>51</v>
      </c>
      <c r="B45" s="2">
        <v>2552</v>
      </c>
      <c r="C45" s="4">
        <v>8.1372552426967601</v>
      </c>
      <c r="D45" s="6">
        <v>7.8813185835482003</v>
      </c>
      <c r="E45" s="2">
        <v>9034.4</v>
      </c>
      <c r="F45" s="3">
        <v>29.2815137152311</v>
      </c>
      <c r="G45" s="7">
        <v>28.552599416952599</v>
      </c>
      <c r="L45" s="94">
        <f t="shared" si="0"/>
        <v>3.1885796405551566E-3</v>
      </c>
      <c r="M45" s="94">
        <f t="shared" si="1"/>
        <v>3.2411132687539959E-3</v>
      </c>
    </row>
    <row r="46" spans="1:13" x14ac:dyDescent="0.2">
      <c r="A46" s="5" t="s">
        <v>52</v>
      </c>
      <c r="B46" s="2">
        <v>2558.3999999999996</v>
      </c>
      <c r="C46" s="4">
        <v>8.1576621523963109</v>
      </c>
      <c r="D46" s="6">
        <v>7.9017254932477501</v>
      </c>
      <c r="E46" s="2">
        <v>8557.6</v>
      </c>
      <c r="F46" s="3">
        <v>27.725821387930701</v>
      </c>
      <c r="G46" s="7">
        <v>26.996907089652201</v>
      </c>
      <c r="L46" s="94">
        <f t="shared" si="0"/>
        <v>3.1885796405551562E-3</v>
      </c>
      <c r="M46" s="94">
        <f t="shared" si="1"/>
        <v>3.239906210611702E-3</v>
      </c>
    </row>
    <row r="47" spans="1:13" x14ac:dyDescent="0.2">
      <c r="A47" s="5" t="s">
        <v>53</v>
      </c>
      <c r="B47" s="2">
        <v>2604</v>
      </c>
      <c r="C47" s="4">
        <v>8.2819156584242606</v>
      </c>
      <c r="D47" s="6">
        <v>8.0266308030033002</v>
      </c>
      <c r="E47" s="2">
        <v>8536.7999999999993</v>
      </c>
      <c r="F47" s="3">
        <v>27.584208318064899</v>
      </c>
      <c r="G47" s="7">
        <v>26.857150373847901</v>
      </c>
      <c r="L47" s="94">
        <f t="shared" si="0"/>
        <v>3.1804591622212981E-3</v>
      </c>
      <c r="M47" s="94">
        <f t="shared" si="1"/>
        <v>3.2312117325068996E-3</v>
      </c>
    </row>
    <row r="48" spans="1:13" x14ac:dyDescent="0.2">
      <c r="A48" s="5" t="s">
        <v>54</v>
      </c>
      <c r="B48" s="2">
        <v>2386.4</v>
      </c>
      <c r="C48" s="4">
        <v>7.58984774472491</v>
      </c>
      <c r="D48" s="6">
        <v>7.3345628893039496</v>
      </c>
      <c r="E48" s="2">
        <v>8201.5999999999985</v>
      </c>
      <c r="F48" s="3">
        <v>26.5095302343322</v>
      </c>
      <c r="G48" s="7">
        <v>25.782472290115201</v>
      </c>
      <c r="L48" s="94">
        <f t="shared" si="0"/>
        <v>3.1804591622212998E-3</v>
      </c>
      <c r="M48" s="94">
        <f t="shared" si="1"/>
        <v>3.2322388600190457E-3</v>
      </c>
    </row>
    <row r="49" spans="1:13" x14ac:dyDescent="0.2">
      <c r="A49" s="5" t="s">
        <v>55</v>
      </c>
      <c r="B49" s="2">
        <v>2562.3999999999996</v>
      </c>
      <c r="C49" s="4">
        <v>8.1496085572758599</v>
      </c>
      <c r="D49" s="6">
        <v>7.8943237018548897</v>
      </c>
      <c r="E49" s="2">
        <v>8418.4</v>
      </c>
      <c r="F49" s="3">
        <v>27.202033350772201</v>
      </c>
      <c r="G49" s="7">
        <v>26.474975406555298</v>
      </c>
      <c r="L49" s="94">
        <f t="shared" si="0"/>
        <v>3.1804591622213007E-3</v>
      </c>
      <c r="M49" s="94">
        <f t="shared" si="1"/>
        <v>3.2312593070859311E-3</v>
      </c>
    </row>
    <row r="50" spans="1:13" x14ac:dyDescent="0.2">
      <c r="A50" s="5" t="s">
        <v>56</v>
      </c>
      <c r="B50" s="2">
        <v>1608.8</v>
      </c>
      <c r="C50" s="4">
        <v>5.1208722754479004</v>
      </c>
      <c r="D50" s="6">
        <v>4.8653803883420101</v>
      </c>
      <c r="E50" s="2">
        <v>4428.88</v>
      </c>
      <c r="F50" s="3">
        <v>14.3034091115808</v>
      </c>
      <c r="G50" s="7">
        <v>13.5757615357111</v>
      </c>
      <c r="L50" s="94">
        <f t="shared" si="0"/>
        <v>3.1830384606215197E-3</v>
      </c>
      <c r="M50" s="94">
        <f t="shared" si="1"/>
        <v>3.2295770288607501E-3</v>
      </c>
    </row>
    <row r="51" spans="1:13" x14ac:dyDescent="0.2">
      <c r="A51" s="5" t="s">
        <v>57</v>
      </c>
      <c r="B51" s="2">
        <v>1176</v>
      </c>
      <c r="C51" s="4">
        <v>3.7432532296908998</v>
      </c>
      <c r="D51" s="6">
        <v>3.4877613425850198</v>
      </c>
      <c r="E51" s="2">
        <v>4426.6400000000003</v>
      </c>
      <c r="F51" s="3">
        <v>14.327747833038</v>
      </c>
      <c r="G51" s="7">
        <v>13.6001002571683</v>
      </c>
      <c r="L51" s="94">
        <f t="shared" si="0"/>
        <v>3.1830384606215136E-3</v>
      </c>
      <c r="M51" s="94">
        <f t="shared" si="1"/>
        <v>3.2367095207737695E-3</v>
      </c>
    </row>
    <row r="52" spans="1:13" x14ac:dyDescent="0.2">
      <c r="A52" s="5" t="s">
        <v>58</v>
      </c>
      <c r="B52" s="2">
        <v>1380.8</v>
      </c>
      <c r="C52" s="4">
        <v>4.3951395064261902</v>
      </c>
      <c r="D52" s="6">
        <v>4.1396476193203</v>
      </c>
      <c r="E52" s="2">
        <v>4307.4399999999996</v>
      </c>
      <c r="F52" s="3">
        <v>13.924649167889701</v>
      </c>
      <c r="G52" s="7">
        <v>13.197001592019999</v>
      </c>
      <c r="L52" s="94">
        <f>C52/B52</f>
        <v>3.1830384606215166E-3</v>
      </c>
      <c r="M52" s="94">
        <f t="shared" si="1"/>
        <v>3.2326971862381604E-3</v>
      </c>
    </row>
    <row r="53" spans="1:13" x14ac:dyDescent="0.2">
      <c r="A53" s="5" t="s">
        <v>59</v>
      </c>
      <c r="B53" s="3">
        <v>72</v>
      </c>
      <c r="C53" s="97">
        <f>B53*$L$54</f>
        <v>0.22934329427925904</v>
      </c>
      <c r="E53" s="1">
        <v>144</v>
      </c>
      <c r="F53" s="97">
        <f>E53*$M$54</f>
        <v>0.46593497744476314</v>
      </c>
    </row>
    <row r="54" spans="1:13" x14ac:dyDescent="0.2">
      <c r="A54" s="5" t="s">
        <v>60</v>
      </c>
      <c r="B54" s="3">
        <v>68</v>
      </c>
      <c r="C54" s="97">
        <f>B54*$L$54</f>
        <v>0.21660200015263353</v>
      </c>
      <c r="E54" s="2">
        <v>155.816</v>
      </c>
      <c r="F54" s="97">
        <f>E54*$M$54</f>
        <v>0.50416753087175847</v>
      </c>
      <c r="L54" s="95">
        <f>AVERAGE(L2:L52)</f>
        <v>3.1853235316563755E-3</v>
      </c>
      <c r="M54" s="95">
        <f>AVERAGE(M2:M52)</f>
        <v>3.2356595655886329E-3</v>
      </c>
    </row>
    <row r="55" spans="1:13" x14ac:dyDescent="0.2">
      <c r="A55" s="5" t="s">
        <v>61</v>
      </c>
      <c r="B55" s="2">
        <v>100.8</v>
      </c>
      <c r="C55" s="97">
        <f>B55*$L$54</f>
        <v>0.32108061199096266</v>
      </c>
      <c r="E55" s="2">
        <v>376</v>
      </c>
      <c r="F55" s="97">
        <f>E55*$M$54</f>
        <v>1.2166079966613259</v>
      </c>
    </row>
    <row r="57" spans="1:13" x14ac:dyDescent="0.2">
      <c r="C57" s="97">
        <f>AVERAGE(C53:C55)</f>
        <v>0.25567530214095174</v>
      </c>
      <c r="D57" s="6"/>
      <c r="F57" s="97">
        <f>AVERAGE(F53:F55)</f>
        <v>0.72890350165928253</v>
      </c>
    </row>
    <row r="58" spans="1:13" x14ac:dyDescent="0.2">
      <c r="B58" s="3"/>
      <c r="D58" s="6"/>
    </row>
    <row r="59" spans="1:13" x14ac:dyDescent="0.2">
      <c r="D59" s="6"/>
    </row>
    <row r="61" spans="1:13" x14ac:dyDescent="0.2">
      <c r="B61" s="27"/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1"/>
  <sheetViews>
    <sheetView zoomScale="90" zoomScaleNormal="90" workbookViewId="0"/>
  </sheetViews>
  <sheetFormatPr defaultRowHeight="12.75" x14ac:dyDescent="0.2"/>
  <cols>
    <col min="1" max="1" width="26.42578125" style="1" customWidth="1"/>
    <col min="2" max="2" width="16.85546875" style="1" customWidth="1"/>
    <col min="3" max="3" width="20" style="1" customWidth="1"/>
    <col min="4" max="4" width="28.28515625" style="8" customWidth="1"/>
    <col min="5" max="5" width="16.140625" style="1" customWidth="1"/>
    <col min="6" max="6" width="18.140625" style="1" customWidth="1"/>
    <col min="7" max="7" width="28.85546875" style="8" customWidth="1"/>
    <col min="8" max="8" width="18.85546875" style="1" customWidth="1"/>
    <col min="12" max="13" width="10.5703125" style="93" customWidth="1"/>
  </cols>
  <sheetData>
    <row r="1" spans="1:13" x14ac:dyDescent="0.2">
      <c r="A1" s="153" t="s">
        <v>0</v>
      </c>
      <c r="B1" s="153" t="s">
        <v>1</v>
      </c>
      <c r="C1" s="153" t="s">
        <v>2</v>
      </c>
      <c r="D1" s="154" t="s">
        <v>3</v>
      </c>
      <c r="E1" s="153" t="s">
        <v>4</v>
      </c>
      <c r="F1" s="153" t="s">
        <v>5</v>
      </c>
      <c r="G1" s="154" t="s">
        <v>6</v>
      </c>
      <c r="H1" s="153" t="s">
        <v>7</v>
      </c>
      <c r="L1" s="96" t="s">
        <v>111</v>
      </c>
      <c r="M1" s="96" t="s">
        <v>111</v>
      </c>
    </row>
    <row r="2" spans="1:13" x14ac:dyDescent="0.2">
      <c r="A2" s="5" t="s">
        <v>8</v>
      </c>
      <c r="B2" s="2">
        <v>3205.6</v>
      </c>
      <c r="C2" s="4">
        <v>8.0206308787760907</v>
      </c>
      <c r="D2" s="6">
        <v>6.4032937811841002</v>
      </c>
      <c r="E2" s="2">
        <v>11013.6</v>
      </c>
      <c r="F2" s="3">
        <v>28.669021120019401</v>
      </c>
      <c r="G2" s="7">
        <v>21.9219553525562</v>
      </c>
      <c r="I2" s="9"/>
      <c r="L2" s="94">
        <f>C2/B2</f>
        <v>2.5020685296905697E-3</v>
      </c>
      <c r="M2" s="94">
        <f>F2/E2</f>
        <v>2.6030563230932122E-3</v>
      </c>
    </row>
    <row r="3" spans="1:13" x14ac:dyDescent="0.2">
      <c r="A3" s="5" t="s">
        <v>9</v>
      </c>
      <c r="B3" s="2">
        <v>2609.6</v>
      </c>
      <c r="C3" s="4">
        <v>6.5293980350805096</v>
      </c>
      <c r="D3" s="6">
        <v>4.9120609374885298</v>
      </c>
      <c r="E3" s="2">
        <v>10958.4</v>
      </c>
      <c r="F3" s="3">
        <v>28.607943174180399</v>
      </c>
      <c r="G3" s="7">
        <v>21.860877406717201</v>
      </c>
      <c r="I3" s="9"/>
      <c r="L3" s="94">
        <f t="shared" ref="L3:L51" si="0">C3/B3</f>
        <v>2.5020685296905693E-3</v>
      </c>
      <c r="M3" s="94">
        <f t="shared" ref="M3:M52" si="1">F3/E3</f>
        <v>2.610594902009454E-3</v>
      </c>
    </row>
    <row r="4" spans="1:13" x14ac:dyDescent="0.2">
      <c r="A4" s="5" t="s">
        <v>10</v>
      </c>
      <c r="B4" s="2">
        <v>2916</v>
      </c>
      <c r="C4" s="4">
        <v>7.2960318325777003</v>
      </c>
      <c r="D4" s="6">
        <v>5.6786947349857204</v>
      </c>
      <c r="E4" s="2">
        <v>10837.6</v>
      </c>
      <c r="F4" s="3">
        <v>28.244839226920998</v>
      </c>
      <c r="G4" s="7">
        <v>21.4977734594579</v>
      </c>
      <c r="I4" s="9"/>
      <c r="L4" s="94">
        <f t="shared" si="0"/>
        <v>2.5020685296905693E-3</v>
      </c>
      <c r="M4" s="94">
        <f t="shared" si="1"/>
        <v>2.6061894909316635E-3</v>
      </c>
    </row>
    <row r="5" spans="1:13" x14ac:dyDescent="0.2">
      <c r="A5" s="5" t="s">
        <v>11</v>
      </c>
      <c r="B5" s="2">
        <v>1292.8</v>
      </c>
      <c r="C5" s="4">
        <v>3.2273768178540299</v>
      </c>
      <c r="D5" s="6">
        <v>1.61368840892702</v>
      </c>
      <c r="E5" s="2">
        <v>4620.8</v>
      </c>
      <c r="F5" s="3">
        <v>12.0084752146331</v>
      </c>
      <c r="G5" s="7">
        <v>5.2766307281411402</v>
      </c>
      <c r="I5" s="9"/>
      <c r="L5" s="94">
        <f t="shared" si="0"/>
        <v>2.496423899948971E-3</v>
      </c>
      <c r="M5" s="94">
        <f t="shared" si="1"/>
        <v>2.5987870530282849E-3</v>
      </c>
    </row>
    <row r="6" spans="1:13" x14ac:dyDescent="0.2">
      <c r="A6" s="5" t="s">
        <v>12</v>
      </c>
      <c r="B6" s="2">
        <v>1332.8</v>
      </c>
      <c r="C6" s="4">
        <v>3.3272337738519902</v>
      </c>
      <c r="D6" s="6">
        <v>1.7135453649249801</v>
      </c>
      <c r="E6" s="2">
        <v>4687.5200000000004</v>
      </c>
      <c r="F6" s="3">
        <v>12.178834258720601</v>
      </c>
      <c r="G6" s="7">
        <v>5.4469897722286298</v>
      </c>
      <c r="I6" s="9"/>
      <c r="L6" s="94">
        <f t="shared" si="0"/>
        <v>2.4964238999489723E-3</v>
      </c>
      <c r="M6" s="94">
        <f t="shared" si="1"/>
        <v>2.598140223128776E-3</v>
      </c>
    </row>
    <row r="7" spans="1:13" x14ac:dyDescent="0.2">
      <c r="A7" s="5" t="s">
        <v>13</v>
      </c>
      <c r="B7" s="2">
        <v>1303.1999999999998</v>
      </c>
      <c r="C7" s="4">
        <v>3.2533396264135002</v>
      </c>
      <c r="D7" s="6">
        <v>1.6396512174864899</v>
      </c>
      <c r="E7" s="2">
        <v>4667.5199999999995</v>
      </c>
      <c r="F7" s="3">
        <v>12.1302702028113</v>
      </c>
      <c r="G7" s="7">
        <v>5.3984257163193101</v>
      </c>
      <c r="I7" s="9"/>
      <c r="L7" s="94">
        <f t="shared" si="0"/>
        <v>2.4964238999489723E-3</v>
      </c>
      <c r="M7" s="94">
        <f t="shared" si="1"/>
        <v>2.5988683932390865E-3</v>
      </c>
    </row>
    <row r="8" spans="1:13" x14ac:dyDescent="0.2">
      <c r="A8" s="5" t="s">
        <v>14</v>
      </c>
      <c r="B8" s="2">
        <v>2473.6</v>
      </c>
      <c r="C8" s="4">
        <v>6.1748698647231697</v>
      </c>
      <c r="D8" s="6">
        <v>4.5612557474216402</v>
      </c>
      <c r="E8" s="2">
        <v>8083.2</v>
      </c>
      <c r="F8" s="3">
        <v>20.975405257325299</v>
      </c>
      <c r="G8" s="7">
        <v>14.2438706941535</v>
      </c>
      <c r="I8" s="9"/>
      <c r="L8" s="94">
        <f t="shared" si="0"/>
        <v>2.4963089685976591E-3</v>
      </c>
      <c r="M8" s="94">
        <f t="shared" si="1"/>
        <v>2.5949382988575439E-3</v>
      </c>
    </row>
    <row r="9" spans="1:13" x14ac:dyDescent="0.2">
      <c r="A9" s="5" t="s">
        <v>15</v>
      </c>
      <c r="B9" s="2">
        <v>2779.2</v>
      </c>
      <c r="C9" s="4">
        <v>6.9377418855266102</v>
      </c>
      <c r="D9" s="6">
        <v>5.3241277682250896</v>
      </c>
      <c r="E9" s="2">
        <v>8009.6</v>
      </c>
      <c r="F9" s="3">
        <v>20.737784725919202</v>
      </c>
      <c r="G9" s="7">
        <v>14.006250162747399</v>
      </c>
      <c r="I9" s="9"/>
      <c r="L9" s="94">
        <f t="shared" si="0"/>
        <v>2.4963089685976578E-3</v>
      </c>
      <c r="M9" s="94">
        <f t="shared" si="1"/>
        <v>2.5891161513582703E-3</v>
      </c>
    </row>
    <row r="10" spans="1:13" x14ac:dyDescent="0.2">
      <c r="A10" s="5" t="s">
        <v>16</v>
      </c>
      <c r="B10" s="2">
        <v>2698.4</v>
      </c>
      <c r="C10" s="4">
        <v>6.7360401208639198</v>
      </c>
      <c r="D10" s="6">
        <v>5.1224260035624001</v>
      </c>
      <c r="E10" s="2">
        <v>8103.1999999999989</v>
      </c>
      <c r="F10" s="3">
        <v>20.996225105521599</v>
      </c>
      <c r="G10" s="7">
        <v>14.2646905423498</v>
      </c>
      <c r="I10" s="9"/>
      <c r="L10" s="94">
        <f t="shared" si="0"/>
        <v>2.4963089685976578E-3</v>
      </c>
      <c r="M10" s="94">
        <f t="shared" si="1"/>
        <v>2.5911029106429066E-3</v>
      </c>
    </row>
    <row r="11" spans="1:13" x14ac:dyDescent="0.2">
      <c r="A11" s="5" t="s">
        <v>17</v>
      </c>
      <c r="B11" s="2">
        <v>2304</v>
      </c>
      <c r="C11" s="4">
        <v>5.7517606654824398</v>
      </c>
      <c r="D11" s="6">
        <v>4.1380722565554198</v>
      </c>
      <c r="E11" s="2">
        <v>6506.1600000000008</v>
      </c>
      <c r="F11" s="3">
        <v>16.8393749800886</v>
      </c>
      <c r="G11" s="7">
        <v>10.107530493596601</v>
      </c>
      <c r="I11" s="9"/>
      <c r="L11" s="94">
        <f t="shared" si="0"/>
        <v>2.4964238999489758E-3</v>
      </c>
      <c r="M11" s="94">
        <f t="shared" si="1"/>
        <v>2.5882202374501394E-3</v>
      </c>
    </row>
    <row r="12" spans="1:13" x14ac:dyDescent="0.2">
      <c r="A12" s="5" t="s">
        <v>18</v>
      </c>
      <c r="B12" s="2">
        <v>2729.6</v>
      </c>
      <c r="C12" s="4">
        <v>6.81423867730072</v>
      </c>
      <c r="D12" s="6">
        <v>5.2005502683736999</v>
      </c>
      <c r="E12" s="2">
        <v>7381.84</v>
      </c>
      <c r="F12" s="3">
        <v>19.089412116432801</v>
      </c>
      <c r="G12" s="7">
        <v>12.357567629940799</v>
      </c>
      <c r="I12" s="9"/>
      <c r="L12" s="94">
        <f t="shared" si="0"/>
        <v>2.4964238999489741E-3</v>
      </c>
      <c r="M12" s="94">
        <f t="shared" si="1"/>
        <v>2.585996461103573E-3</v>
      </c>
    </row>
    <row r="13" spans="1:13" x14ac:dyDescent="0.2">
      <c r="A13" s="5" t="s">
        <v>19</v>
      </c>
      <c r="B13" s="2">
        <v>2431.1999999999998</v>
      </c>
      <c r="C13" s="4">
        <v>6.06930578555595</v>
      </c>
      <c r="D13" s="6">
        <v>4.45561737662893</v>
      </c>
      <c r="E13" s="2">
        <v>7358.96</v>
      </c>
      <c r="F13" s="3">
        <v>19.071452851575199</v>
      </c>
      <c r="G13" s="7">
        <v>12.339608365083199</v>
      </c>
      <c r="I13" s="9"/>
      <c r="L13" s="94">
        <f t="shared" si="0"/>
        <v>2.4964238999489758E-3</v>
      </c>
      <c r="M13" s="94">
        <f t="shared" si="1"/>
        <v>2.5915962108198983E-3</v>
      </c>
    </row>
    <row r="14" spans="1:13" x14ac:dyDescent="0.2">
      <c r="A14" s="5" t="s">
        <v>20</v>
      </c>
      <c r="B14" s="2">
        <v>4387.2</v>
      </c>
      <c r="C14" s="4">
        <v>10.950294305074699</v>
      </c>
      <c r="D14" s="6">
        <v>9.3369030216136295</v>
      </c>
      <c r="E14" s="2">
        <v>15599.199999999999</v>
      </c>
      <c r="F14" s="3">
        <v>40.528283226748002</v>
      </c>
      <c r="G14" s="7">
        <v>33.797678262346402</v>
      </c>
      <c r="L14" s="94">
        <f t="shared" si="0"/>
        <v>2.4959642380276031E-3</v>
      </c>
      <c r="M14" s="94">
        <f t="shared" si="1"/>
        <v>2.5981001094125345E-3</v>
      </c>
    </row>
    <row r="15" spans="1:13" x14ac:dyDescent="0.2">
      <c r="A15" s="5" t="s">
        <v>21</v>
      </c>
      <c r="B15" s="2">
        <v>5104.8</v>
      </c>
      <c r="C15" s="4">
        <v>12.741398242283299</v>
      </c>
      <c r="D15" s="6">
        <v>11.128006958822199</v>
      </c>
      <c r="E15" s="2">
        <v>14784.800000000001</v>
      </c>
      <c r="F15" s="3">
        <v>38.277871018041203</v>
      </c>
      <c r="G15" s="7">
        <v>31.5472660536396</v>
      </c>
      <c r="L15" s="94">
        <f t="shared" si="0"/>
        <v>2.4959642380276014E-3</v>
      </c>
      <c r="M15" s="94">
        <f t="shared" si="1"/>
        <v>2.5890016109816299E-3</v>
      </c>
    </row>
    <row r="16" spans="1:13" x14ac:dyDescent="0.2">
      <c r="A16" s="5" t="s">
        <v>22</v>
      </c>
      <c r="B16" s="2">
        <v>5420.8</v>
      </c>
      <c r="C16" s="4">
        <v>13.5301229415</v>
      </c>
      <c r="D16" s="6">
        <v>11.916731658039</v>
      </c>
      <c r="E16" s="2">
        <v>17816</v>
      </c>
      <c r="F16" s="3">
        <v>46.2294708082432</v>
      </c>
      <c r="G16" s="7">
        <v>39.498865843841699</v>
      </c>
      <c r="L16" s="94">
        <f t="shared" si="0"/>
        <v>2.4959642380275975E-3</v>
      </c>
      <c r="M16" s="94">
        <f t="shared" si="1"/>
        <v>2.5948288509341716E-3</v>
      </c>
    </row>
    <row r="17" spans="1:13" x14ac:dyDescent="0.2">
      <c r="A17" s="5" t="s">
        <v>23</v>
      </c>
      <c r="B17" s="2">
        <v>4337.6000000000004</v>
      </c>
      <c r="C17" s="4">
        <v>10.826494478868501</v>
      </c>
      <c r="D17" s="6">
        <v>9.2131031954074594</v>
      </c>
      <c r="E17" s="2">
        <v>12214.4</v>
      </c>
      <c r="F17" s="3">
        <v>31.6060077805307</v>
      </c>
      <c r="G17" s="7">
        <v>24.8754028161291</v>
      </c>
      <c r="L17" s="94">
        <f t="shared" si="0"/>
        <v>2.4959642380275957E-3</v>
      </c>
      <c r="M17" s="94">
        <f t="shared" si="1"/>
        <v>2.5876021565144993E-3</v>
      </c>
    </row>
    <row r="18" spans="1:13" x14ac:dyDescent="0.2">
      <c r="A18" s="5" t="s">
        <v>24</v>
      </c>
      <c r="B18" s="2">
        <v>3756.8</v>
      </c>
      <c r="C18" s="4">
        <v>9.3768384494220705</v>
      </c>
      <c r="D18" s="6">
        <v>7.76344716596103</v>
      </c>
      <c r="E18" s="2">
        <v>12624</v>
      </c>
      <c r="F18" s="3">
        <v>32.769091692934502</v>
      </c>
      <c r="G18" s="7">
        <v>26.038486728533002</v>
      </c>
      <c r="L18" s="94">
        <f t="shared" si="0"/>
        <v>2.4959642380275953E-3</v>
      </c>
      <c r="M18" s="94">
        <f t="shared" si="1"/>
        <v>2.5957772253591971E-3</v>
      </c>
    </row>
    <row r="19" spans="1:13" x14ac:dyDescent="0.2">
      <c r="A19" s="5" t="s">
        <v>25</v>
      </c>
      <c r="B19" s="2">
        <v>3090.3999999999996</v>
      </c>
      <c r="C19" s="4">
        <v>7.7135278812004797</v>
      </c>
      <c r="D19" s="6">
        <v>6.1001365977394402</v>
      </c>
      <c r="E19" s="2">
        <v>10359.199999999999</v>
      </c>
      <c r="F19" s="3">
        <v>26.889097438269602</v>
      </c>
      <c r="G19" s="7">
        <v>20.158492473868002</v>
      </c>
      <c r="L19" s="94">
        <f t="shared" si="0"/>
        <v>2.4959642380275953E-3</v>
      </c>
      <c r="M19" s="94">
        <f t="shared" si="1"/>
        <v>2.5956731637838447E-3</v>
      </c>
    </row>
    <row r="20" spans="1:13" x14ac:dyDescent="0.2">
      <c r="A20" s="5" t="s">
        <v>26</v>
      </c>
      <c r="B20" s="2">
        <v>2596.8000000000002</v>
      </c>
      <c r="C20" s="4">
        <v>6.4818183046163496</v>
      </c>
      <c r="D20" s="6">
        <v>4.8683527500476496</v>
      </c>
      <c r="E20" s="2">
        <v>9332.8000000000011</v>
      </c>
      <c r="F20" s="3">
        <v>24.252644660224501</v>
      </c>
      <c r="G20" s="7">
        <v>17.521729858097199</v>
      </c>
      <c r="L20" s="94">
        <f t="shared" si="0"/>
        <v>2.4960791376372263E-3</v>
      </c>
      <c r="M20" s="94">
        <f t="shared" si="1"/>
        <v>2.5986461362318379E-3</v>
      </c>
    </row>
    <row r="21" spans="1:13" x14ac:dyDescent="0.2">
      <c r="A21" s="5" t="s">
        <v>27</v>
      </c>
      <c r="B21" s="2">
        <v>2755.2</v>
      </c>
      <c r="C21" s="4">
        <v>6.8771972400180896</v>
      </c>
      <c r="D21" s="6">
        <v>5.2637316854493799</v>
      </c>
      <c r="E21" s="2">
        <v>9022.4</v>
      </c>
      <c r="F21" s="3">
        <v>23.411241618858298</v>
      </c>
      <c r="G21" s="7">
        <v>16.680326816731</v>
      </c>
      <c r="L21" s="94">
        <f t="shared" si="0"/>
        <v>2.496079137637228E-3</v>
      </c>
      <c r="M21" s="94">
        <f t="shared" si="1"/>
        <v>2.5947909224661174E-3</v>
      </c>
    </row>
    <row r="22" spans="1:13" x14ac:dyDescent="0.2">
      <c r="A22" s="5" t="s">
        <v>28</v>
      </c>
      <c r="B22" s="2">
        <v>3023.2000000000003</v>
      </c>
      <c r="C22" s="4">
        <v>7.5461464489048602</v>
      </c>
      <c r="D22" s="6">
        <v>5.9326808943361602</v>
      </c>
      <c r="E22" s="2">
        <v>9224.7999999999993</v>
      </c>
      <c r="F22" s="3">
        <v>23.907125772975501</v>
      </c>
      <c r="G22" s="7">
        <v>17.176210970848199</v>
      </c>
      <c r="L22" s="94">
        <f t="shared" si="0"/>
        <v>2.4960791376372254E-3</v>
      </c>
      <c r="M22" s="94">
        <f t="shared" si="1"/>
        <v>2.5916145361390493E-3</v>
      </c>
    </row>
    <row r="23" spans="1:13" x14ac:dyDescent="0.2">
      <c r="A23" s="5" t="s">
        <v>29</v>
      </c>
      <c r="B23" s="2">
        <v>3065.6</v>
      </c>
      <c r="C23" s="4">
        <v>7.65127576427723</v>
      </c>
      <c r="D23" s="6">
        <v>6.0379587450872503</v>
      </c>
      <c r="E23" s="2">
        <v>8002.4</v>
      </c>
      <c r="F23" s="3">
        <v>20.674277404601501</v>
      </c>
      <c r="G23" s="7">
        <v>13.9439822494053</v>
      </c>
      <c r="L23" s="94">
        <f t="shared" si="0"/>
        <v>2.4958493489943994E-3</v>
      </c>
      <c r="M23" s="94">
        <f t="shared" si="1"/>
        <v>2.5835096226883812E-3</v>
      </c>
    </row>
    <row r="24" spans="1:13" x14ac:dyDescent="0.2">
      <c r="A24" s="5" t="s">
        <v>30</v>
      </c>
      <c r="B24" s="2">
        <v>3072</v>
      </c>
      <c r="C24" s="4">
        <v>7.6672492001107999</v>
      </c>
      <c r="D24" s="6">
        <v>6.0539321809208202</v>
      </c>
      <c r="E24" s="2">
        <v>6818.8</v>
      </c>
      <c r="F24" s="3">
        <v>17.551097552478101</v>
      </c>
      <c r="G24" s="7">
        <v>10.8208023972819</v>
      </c>
      <c r="L24" s="94">
        <f t="shared" si="0"/>
        <v>2.4958493489944012E-3</v>
      </c>
      <c r="M24" s="94">
        <f t="shared" si="1"/>
        <v>2.5739276049272747E-3</v>
      </c>
    </row>
    <row r="25" spans="1:13" x14ac:dyDescent="0.2">
      <c r="A25" s="5" t="s">
        <v>31</v>
      </c>
      <c r="B25" s="2">
        <v>2977.6</v>
      </c>
      <c r="C25" s="4">
        <v>7.4316410215657296</v>
      </c>
      <c r="D25" s="6">
        <v>5.8183240023757499</v>
      </c>
      <c r="E25" s="2">
        <v>7331.5999999999995</v>
      </c>
      <c r="F25" s="3">
        <v>18.917248933972999</v>
      </c>
      <c r="G25" s="7">
        <v>12.1869537787768</v>
      </c>
      <c r="L25" s="94">
        <f t="shared" si="0"/>
        <v>2.4958493489944016E-3</v>
      </c>
      <c r="M25" s="94">
        <f t="shared" si="1"/>
        <v>2.5802347282957334E-3</v>
      </c>
    </row>
    <row r="26" spans="1:13" x14ac:dyDescent="0.2">
      <c r="A26" s="5" t="s">
        <v>32</v>
      </c>
      <c r="B26" s="2">
        <v>6440.8</v>
      </c>
      <c r="C26" s="3">
        <v>16.086373304011399</v>
      </c>
      <c r="D26" s="7">
        <v>14.471941602404</v>
      </c>
      <c r="E26" s="2">
        <v>19505.600000000002</v>
      </c>
      <c r="F26" s="3">
        <v>50.574395497510103</v>
      </c>
      <c r="G26" s="7">
        <v>43.839450207477299</v>
      </c>
      <c r="L26" s="94">
        <f t="shared" si="0"/>
        <v>2.4975737958035336E-3</v>
      </c>
      <c r="M26" s="94">
        <f t="shared" si="1"/>
        <v>2.5928141404268569E-3</v>
      </c>
    </row>
    <row r="27" spans="1:13" x14ac:dyDescent="0.2">
      <c r="A27" s="5" t="s">
        <v>33</v>
      </c>
      <c r="B27" s="2">
        <v>6808</v>
      </c>
      <c r="C27" s="3">
        <v>17.0034824018304</v>
      </c>
      <c r="D27" s="7">
        <v>15.389050700223001</v>
      </c>
      <c r="E27" s="2">
        <v>19976</v>
      </c>
      <c r="F27" s="3">
        <v>51.763928504640397</v>
      </c>
      <c r="G27" s="7">
        <v>45.0289832146075</v>
      </c>
      <c r="L27" s="94">
        <f t="shared" si="0"/>
        <v>2.4975737958035254E-3</v>
      </c>
      <c r="M27" s="94">
        <f t="shared" si="1"/>
        <v>2.5913059924229272E-3</v>
      </c>
    </row>
    <row r="28" spans="1:13" x14ac:dyDescent="0.2">
      <c r="A28" s="5" t="s">
        <v>34</v>
      </c>
      <c r="B28" s="2">
        <v>6673.6</v>
      </c>
      <c r="C28" s="3">
        <v>16.667808483674399</v>
      </c>
      <c r="D28" s="7">
        <v>15.053376782067</v>
      </c>
      <c r="E28" s="2">
        <v>20832.8</v>
      </c>
      <c r="F28" s="3">
        <v>54.0447912038223</v>
      </c>
      <c r="G28" s="7">
        <v>47.309845913789403</v>
      </c>
      <c r="L28" s="94">
        <f t="shared" si="0"/>
        <v>2.4975737958035241E-3</v>
      </c>
      <c r="M28" s="94">
        <f t="shared" si="1"/>
        <v>2.5942163897230476E-3</v>
      </c>
    </row>
    <row r="29" spans="1:13" x14ac:dyDescent="0.2">
      <c r="A29" s="5" t="s">
        <v>35</v>
      </c>
      <c r="B29" s="2">
        <v>3802.4</v>
      </c>
      <c r="C29" s="4">
        <v>9.4902175646163105</v>
      </c>
      <c r="D29" s="6">
        <v>7.8769005454263299</v>
      </c>
      <c r="E29" s="2">
        <v>17417.599999999999</v>
      </c>
      <c r="F29" s="3">
        <v>45.406351889147103</v>
      </c>
      <c r="G29" s="7">
        <v>38.676056733950901</v>
      </c>
      <c r="L29" s="94">
        <f t="shared" si="0"/>
        <v>2.4958493489944012E-3</v>
      </c>
      <c r="M29" s="94">
        <f t="shared" si="1"/>
        <v>2.6069235651953833E-3</v>
      </c>
    </row>
    <row r="30" spans="1:13" x14ac:dyDescent="0.2">
      <c r="A30" s="5" t="s">
        <v>36</v>
      </c>
      <c r="B30" s="2">
        <v>3886.4</v>
      </c>
      <c r="C30" s="3">
        <v>9.6998689099318405</v>
      </c>
      <c r="D30" s="7">
        <v>8.0865518907418608</v>
      </c>
      <c r="E30" s="2">
        <v>21716</v>
      </c>
      <c r="F30" s="3">
        <v>56.733354172921302</v>
      </c>
      <c r="G30" s="7">
        <v>50.0030590177251</v>
      </c>
      <c r="L30" s="94">
        <f t="shared" si="0"/>
        <v>2.4958493489944012E-3</v>
      </c>
      <c r="M30" s="94">
        <f t="shared" si="1"/>
        <v>2.6125140068576766E-3</v>
      </c>
    </row>
    <row r="31" spans="1:13" x14ac:dyDescent="0.2">
      <c r="A31" s="5" t="s">
        <v>37</v>
      </c>
      <c r="B31" s="2">
        <v>5200.8</v>
      </c>
      <c r="C31" s="4">
        <v>12.9804132942501</v>
      </c>
      <c r="D31" s="6">
        <v>11.367096275060099</v>
      </c>
      <c r="E31" s="2">
        <v>16240.8</v>
      </c>
      <c r="F31" s="3">
        <v>42.103314385884403</v>
      </c>
      <c r="G31" s="7">
        <v>35.3730192306882</v>
      </c>
      <c r="L31" s="94">
        <f t="shared" si="0"/>
        <v>2.4958493489944046E-3</v>
      </c>
      <c r="M31" s="94">
        <f t="shared" si="1"/>
        <v>2.5924409133715339E-3</v>
      </c>
    </row>
    <row r="32" spans="1:13" x14ac:dyDescent="0.2">
      <c r="A32" s="5" t="s">
        <v>38</v>
      </c>
      <c r="B32" s="2">
        <v>2826.4</v>
      </c>
      <c r="C32" s="4">
        <v>7.0705414226029397</v>
      </c>
      <c r="D32" s="6">
        <v>5.4535027955258997</v>
      </c>
      <c r="E32" s="2">
        <v>7598.88</v>
      </c>
      <c r="F32" s="3">
        <v>19.689117717312001</v>
      </c>
      <c r="G32" s="7">
        <v>12.9432970830972</v>
      </c>
      <c r="L32" s="94">
        <f t="shared" si="0"/>
        <v>2.501606786938487E-3</v>
      </c>
      <c r="M32" s="94">
        <f t="shared" si="1"/>
        <v>2.5910552235740006E-3</v>
      </c>
    </row>
    <row r="33" spans="1:13" x14ac:dyDescent="0.2">
      <c r="A33" s="5" t="s">
        <v>39</v>
      </c>
      <c r="B33" s="2">
        <v>2961.6</v>
      </c>
      <c r="C33" s="4">
        <v>7.4087586601970203</v>
      </c>
      <c r="D33" s="6">
        <v>5.7917200331199803</v>
      </c>
      <c r="E33" s="2">
        <v>7323.12</v>
      </c>
      <c r="F33" s="3">
        <v>18.940744730520901</v>
      </c>
      <c r="G33" s="7">
        <v>12.194924096306099</v>
      </c>
      <c r="L33" s="94">
        <f t="shared" si="0"/>
        <v>2.5016067869384861E-3</v>
      </c>
      <c r="M33" s="94">
        <f t="shared" si="1"/>
        <v>2.58643101990967E-3</v>
      </c>
    </row>
    <row r="34" spans="1:13" x14ac:dyDescent="0.2">
      <c r="A34" s="5" t="s">
        <v>40</v>
      </c>
      <c r="B34" s="2">
        <v>2478.4</v>
      </c>
      <c r="C34" s="4">
        <v>6.1999822607483503</v>
      </c>
      <c r="D34" s="6">
        <v>4.5829436336713103</v>
      </c>
      <c r="E34" s="2">
        <v>7906.08</v>
      </c>
      <c r="F34" s="3">
        <v>20.550926462351399</v>
      </c>
      <c r="G34" s="7">
        <v>13.8051058281366</v>
      </c>
      <c r="L34" s="94">
        <f t="shared" si="0"/>
        <v>2.5016067869384887E-3</v>
      </c>
      <c r="M34" s="94">
        <f t="shared" si="1"/>
        <v>2.5993825590370193E-3</v>
      </c>
    </row>
    <row r="35" spans="1:13" x14ac:dyDescent="0.2">
      <c r="A35" s="5" t="s">
        <v>41</v>
      </c>
      <c r="B35" s="2">
        <v>1622.4</v>
      </c>
      <c r="C35" s="4">
        <v>4.05393103678482</v>
      </c>
      <c r="D35" s="6">
        <v>2.4387553574346499</v>
      </c>
      <c r="E35" s="2">
        <v>5070.6400000000003</v>
      </c>
      <c r="F35" s="3">
        <v>13.1606744131873</v>
      </c>
      <c r="G35" s="6">
        <v>6.4226254617300604</v>
      </c>
      <c r="L35" s="94">
        <f t="shared" si="0"/>
        <v>2.4987247514699335E-3</v>
      </c>
      <c r="M35" s="94">
        <f t="shared" si="1"/>
        <v>2.5954661370531725E-3</v>
      </c>
    </row>
    <row r="36" spans="1:13" x14ac:dyDescent="0.2">
      <c r="A36" s="5" t="s">
        <v>42</v>
      </c>
      <c r="B36" s="2">
        <v>1424</v>
      </c>
      <c r="C36" s="4">
        <v>3.5581840460931802</v>
      </c>
      <c r="D36" s="6">
        <v>1.94300836674302</v>
      </c>
      <c r="E36" s="2">
        <v>4721.84</v>
      </c>
      <c r="F36" s="3">
        <v>12.2677235724704</v>
      </c>
      <c r="G36" s="7">
        <v>5.5296746210132097</v>
      </c>
      <c r="L36" s="94">
        <f t="shared" si="0"/>
        <v>2.49872475146993E-3</v>
      </c>
      <c r="M36" s="94">
        <f t="shared" si="1"/>
        <v>2.5980811659163374E-3</v>
      </c>
    </row>
    <row r="37" spans="1:13" x14ac:dyDescent="0.2">
      <c r="A37" s="5" t="s">
        <v>43</v>
      </c>
      <c r="B37" s="2">
        <v>1514.3999999999999</v>
      </c>
      <c r="C37" s="4">
        <v>3.7840687636260699</v>
      </c>
      <c r="D37" s="6">
        <v>2.1688930842759002</v>
      </c>
      <c r="E37" s="2">
        <v>4786.6400000000003</v>
      </c>
      <c r="F37" s="3">
        <v>12.425999124041599</v>
      </c>
      <c r="G37" s="6">
        <v>5.68795017258436</v>
      </c>
      <c r="L37" s="94">
        <f t="shared" si="0"/>
        <v>2.4987247514699357E-3</v>
      </c>
      <c r="M37" s="94">
        <f t="shared" si="1"/>
        <v>2.5959752820436878E-3</v>
      </c>
    </row>
    <row r="38" spans="1:13" x14ac:dyDescent="0.2">
      <c r="A38" s="5" t="s">
        <v>44</v>
      </c>
      <c r="B38" s="2">
        <v>1536.8</v>
      </c>
      <c r="C38" s="4">
        <v>3.8462438171205098</v>
      </c>
      <c r="D38" s="6">
        <v>2.2284588071083502</v>
      </c>
      <c r="E38" s="2">
        <v>4935.2</v>
      </c>
      <c r="F38" s="3">
        <v>12.835859979452101</v>
      </c>
      <c r="G38" s="7">
        <v>6.0869256500412803</v>
      </c>
      <c r="L38" s="94">
        <f t="shared" si="0"/>
        <v>2.502761463508921E-3</v>
      </c>
      <c r="M38" s="94">
        <f t="shared" si="1"/>
        <v>2.6008793928213856E-3</v>
      </c>
    </row>
    <row r="39" spans="1:13" x14ac:dyDescent="0.2">
      <c r="A39" s="5" t="s">
        <v>45</v>
      </c>
      <c r="B39" s="2">
        <v>1424</v>
      </c>
      <c r="C39" s="4">
        <v>3.5639323240367098</v>
      </c>
      <c r="D39" s="6">
        <v>1.94614731402454</v>
      </c>
      <c r="E39" s="2">
        <v>4927.76</v>
      </c>
      <c r="F39" s="3">
        <v>12.8322519817965</v>
      </c>
      <c r="G39" s="7">
        <v>6.0833176523856896</v>
      </c>
      <c r="L39" s="94">
        <f t="shared" si="0"/>
        <v>2.5027614635089253E-3</v>
      </c>
      <c r="M39" s="94">
        <f t="shared" si="1"/>
        <v>2.6040740583544043E-3</v>
      </c>
    </row>
    <row r="40" spans="1:13" x14ac:dyDescent="0.2">
      <c r="A40" s="5" t="s">
        <v>46</v>
      </c>
      <c r="B40" s="2">
        <v>1712</v>
      </c>
      <c r="C40" s="4">
        <v>4.2847276255272799</v>
      </c>
      <c r="D40" s="6">
        <v>2.6669426155151101</v>
      </c>
      <c r="E40" s="2">
        <v>4897.4399999999996</v>
      </c>
      <c r="F40" s="3">
        <v>12.711011437950001</v>
      </c>
      <c r="G40" s="7">
        <v>5.9620771085392201</v>
      </c>
      <c r="L40" s="94">
        <f t="shared" si="0"/>
        <v>2.5027614635089253E-3</v>
      </c>
      <c r="M40" s="94">
        <f t="shared" si="1"/>
        <v>2.5954399518830248E-3</v>
      </c>
    </row>
    <row r="41" spans="1:13" x14ac:dyDescent="0.2">
      <c r="A41" s="5" t="s">
        <v>47</v>
      </c>
      <c r="B41" s="2">
        <v>2400</v>
      </c>
      <c r="C41" s="4">
        <v>5.9872824962760998</v>
      </c>
      <c r="D41" s="6">
        <v>4.3747077439457396</v>
      </c>
      <c r="E41" s="2">
        <v>9141.6</v>
      </c>
      <c r="F41" s="3">
        <v>23.763063181005801</v>
      </c>
      <c r="G41" s="7">
        <v>17.035864549921001</v>
      </c>
      <c r="L41" s="94">
        <f t="shared" si="0"/>
        <v>2.4947010401150417E-3</v>
      </c>
      <c r="M41" s="94">
        <f t="shared" si="1"/>
        <v>2.599442458760589E-3</v>
      </c>
    </row>
    <row r="42" spans="1:13" x14ac:dyDescent="0.2">
      <c r="A42" s="5" t="s">
        <v>48</v>
      </c>
      <c r="B42" s="2">
        <v>3023.2000000000003</v>
      </c>
      <c r="C42" s="4">
        <v>7.5419801844757997</v>
      </c>
      <c r="D42" s="6">
        <v>5.9294054321454297</v>
      </c>
      <c r="E42" s="2">
        <v>9264</v>
      </c>
      <c r="F42" s="3">
        <v>23.997286357678199</v>
      </c>
      <c r="G42" s="7">
        <v>17.270087726593299</v>
      </c>
      <c r="L42" s="94">
        <f t="shared" si="0"/>
        <v>2.4947010401150434E-3</v>
      </c>
      <c r="M42" s="94">
        <f t="shared" si="1"/>
        <v>2.5903806517355568E-3</v>
      </c>
    </row>
    <row r="43" spans="1:13" x14ac:dyDescent="0.2">
      <c r="A43" s="5" t="s">
        <v>49</v>
      </c>
      <c r="B43" s="2">
        <v>2878.4</v>
      </c>
      <c r="C43" s="4">
        <v>7.1807474738671404</v>
      </c>
      <c r="D43" s="6">
        <v>5.5681727215367696</v>
      </c>
      <c r="E43" s="2">
        <v>9372</v>
      </c>
      <c r="F43" s="3">
        <v>24.3026190554443</v>
      </c>
      <c r="G43" s="7">
        <v>17.5754204243595</v>
      </c>
      <c r="L43" s="94">
        <f t="shared" si="0"/>
        <v>2.494701040115043E-3</v>
      </c>
      <c r="M43" s="94">
        <f t="shared" si="1"/>
        <v>2.5931091608455293E-3</v>
      </c>
    </row>
    <row r="44" spans="1:13" x14ac:dyDescent="0.2">
      <c r="A44" s="5" t="s">
        <v>50</v>
      </c>
      <c r="B44" s="2">
        <v>3076.8</v>
      </c>
      <c r="C44" s="4">
        <v>7.6756961602259599</v>
      </c>
      <c r="D44" s="6">
        <v>6.0631214078955997</v>
      </c>
      <c r="E44" s="2">
        <v>10479.200000000001</v>
      </c>
      <c r="F44" s="3">
        <v>27.193828197226601</v>
      </c>
      <c r="G44" s="7">
        <v>20.466629566141702</v>
      </c>
      <c r="L44" s="94">
        <f t="shared" si="0"/>
        <v>2.4947010401150413E-3</v>
      </c>
      <c r="M44" s="94">
        <f t="shared" si="1"/>
        <v>2.5950290286688485E-3</v>
      </c>
    </row>
    <row r="45" spans="1:13" x14ac:dyDescent="0.2">
      <c r="A45" s="5" t="s">
        <v>51</v>
      </c>
      <c r="B45" s="2">
        <v>3044.7999999999997</v>
      </c>
      <c r="C45" s="4">
        <v>7.5958657269422796</v>
      </c>
      <c r="D45" s="6">
        <v>5.9832909746119203</v>
      </c>
      <c r="E45" s="2">
        <v>10493.6</v>
      </c>
      <c r="F45" s="3">
        <v>27.236342047758502</v>
      </c>
      <c r="G45" s="7">
        <v>20.509143416673702</v>
      </c>
      <c r="L45" s="94">
        <f t="shared" si="0"/>
        <v>2.4947010401150421E-3</v>
      </c>
      <c r="M45" s="94">
        <f t="shared" si="1"/>
        <v>2.5955193687350864E-3</v>
      </c>
    </row>
    <row r="46" spans="1:13" x14ac:dyDescent="0.2">
      <c r="A46" s="5" t="s">
        <v>52</v>
      </c>
      <c r="B46" s="2">
        <v>2844</v>
      </c>
      <c r="C46" s="4">
        <v>7.0949297580871802</v>
      </c>
      <c r="D46" s="6">
        <v>5.48235500575682</v>
      </c>
      <c r="E46" s="2">
        <v>10872</v>
      </c>
      <c r="F46" s="3">
        <v>28.262600242395099</v>
      </c>
      <c r="G46" s="7">
        <v>21.535401611310199</v>
      </c>
      <c r="L46" s="94">
        <f t="shared" si="0"/>
        <v>2.4947010401150421E-3</v>
      </c>
      <c r="M46" s="94">
        <f t="shared" si="1"/>
        <v>2.599576917070925E-3</v>
      </c>
    </row>
    <row r="47" spans="1:13" x14ac:dyDescent="0.2">
      <c r="A47" s="5" t="s">
        <v>53</v>
      </c>
      <c r="B47" s="2">
        <v>2811.2</v>
      </c>
      <c r="C47" s="4">
        <v>7.0179468675365602</v>
      </c>
      <c r="D47" s="6">
        <v>5.4042584586095401</v>
      </c>
      <c r="E47" s="2">
        <v>10658.4</v>
      </c>
      <c r="F47" s="3">
        <v>27.7231858516726</v>
      </c>
      <c r="G47" s="7">
        <v>20.991341365180698</v>
      </c>
      <c r="L47" s="94">
        <f t="shared" si="0"/>
        <v>2.4964238999489758E-3</v>
      </c>
      <c r="M47" s="94">
        <f t="shared" si="1"/>
        <v>2.6010644985807064E-3</v>
      </c>
    </row>
    <row r="48" spans="1:13" x14ac:dyDescent="0.2">
      <c r="A48" s="5" t="s">
        <v>54</v>
      </c>
      <c r="B48" s="2">
        <v>2868.7999999999997</v>
      </c>
      <c r="C48" s="4">
        <v>7.1617408841736196</v>
      </c>
      <c r="D48" s="6">
        <v>5.5480524752465996</v>
      </c>
      <c r="E48" s="2">
        <v>10894.4</v>
      </c>
      <c r="F48" s="3">
        <v>28.337697402560099</v>
      </c>
      <c r="G48" s="7">
        <v>21.605852916068098</v>
      </c>
      <c r="L48" s="94">
        <f t="shared" si="0"/>
        <v>2.4964238999489754E-3</v>
      </c>
      <c r="M48" s="94">
        <f t="shared" si="1"/>
        <v>2.6011251103833254E-3</v>
      </c>
    </row>
    <row r="49" spans="1:13" x14ac:dyDescent="0.2">
      <c r="A49" s="5" t="s">
        <v>55</v>
      </c>
      <c r="B49" s="2">
        <v>2660.8</v>
      </c>
      <c r="C49" s="4">
        <v>6.6424847129842304</v>
      </c>
      <c r="D49" s="6">
        <v>5.0287963040572103</v>
      </c>
      <c r="E49" s="2">
        <v>10988.8</v>
      </c>
      <c r="F49" s="3">
        <v>28.616339114539599</v>
      </c>
      <c r="G49" s="7">
        <v>21.884494628047602</v>
      </c>
      <c r="L49" s="94">
        <f t="shared" si="0"/>
        <v>2.4964238999489741E-3</v>
      </c>
      <c r="M49" s="94">
        <f t="shared" si="1"/>
        <v>2.6041368588507938E-3</v>
      </c>
    </row>
    <row r="50" spans="1:13" x14ac:dyDescent="0.2">
      <c r="A50" s="5" t="s">
        <v>56</v>
      </c>
      <c r="B50" s="2">
        <v>2097.6</v>
      </c>
      <c r="C50" s="4">
        <v>5.2377045056157696</v>
      </c>
      <c r="D50" s="6">
        <v>3.6236445359218199</v>
      </c>
      <c r="E50" s="2">
        <v>6336.24</v>
      </c>
      <c r="F50" s="3">
        <v>16.424148316242601</v>
      </c>
      <c r="G50" s="7">
        <v>9.6907537849672405</v>
      </c>
      <c r="L50" s="94">
        <f t="shared" si="0"/>
        <v>2.4969987154918813E-3</v>
      </c>
      <c r="M50" s="94">
        <f t="shared" si="1"/>
        <v>2.5920969401794442E-3</v>
      </c>
    </row>
    <row r="51" spans="1:13" x14ac:dyDescent="0.2">
      <c r="A51" s="5" t="s">
        <v>57</v>
      </c>
      <c r="B51" s="2">
        <v>2191.1999999999998</v>
      </c>
      <c r="C51" s="4">
        <v>5.4714235853858204</v>
      </c>
      <c r="D51" s="6">
        <v>3.85736361569186</v>
      </c>
      <c r="E51" s="2">
        <v>6373.68</v>
      </c>
      <c r="F51" s="3">
        <v>16.509652241056202</v>
      </c>
      <c r="G51" s="7">
        <v>9.7762577097807792</v>
      </c>
      <c r="L51" s="94">
        <f t="shared" si="0"/>
        <v>2.4969987154918861E-3</v>
      </c>
      <c r="M51" s="94">
        <f t="shared" si="1"/>
        <v>2.5902857126583389E-3</v>
      </c>
    </row>
    <row r="52" spans="1:13" x14ac:dyDescent="0.2">
      <c r="A52" s="5" t="s">
        <v>58</v>
      </c>
      <c r="B52" s="2">
        <v>2396.7999999999997</v>
      </c>
      <c r="C52" s="4">
        <v>5.9848065212909498</v>
      </c>
      <c r="D52" s="6">
        <v>4.3707465515969899</v>
      </c>
      <c r="E52" s="2">
        <v>6099.2800000000007</v>
      </c>
      <c r="F52" s="3">
        <v>15.756238980751901</v>
      </c>
      <c r="G52" s="7">
        <v>9.0228444494765405</v>
      </c>
      <c r="L52" s="94">
        <f>C52/B52</f>
        <v>2.4969987154918852E-3</v>
      </c>
      <c r="M52" s="94">
        <f t="shared" si="1"/>
        <v>2.5832949103421878E-3</v>
      </c>
    </row>
    <row r="53" spans="1:13" x14ac:dyDescent="0.2">
      <c r="A53" s="5" t="s">
        <v>59</v>
      </c>
      <c r="B53" s="3">
        <v>558.4</v>
      </c>
      <c r="C53" s="97">
        <f>B53*$L$54</f>
        <v>1.3945029329917613</v>
      </c>
      <c r="E53" s="1">
        <v>2805.04</v>
      </c>
      <c r="F53" s="97">
        <f>E53*$M$54</f>
        <v>7.2789344085748908</v>
      </c>
    </row>
    <row r="54" spans="1:13" x14ac:dyDescent="0.2">
      <c r="A54" s="5" t="s">
        <v>60</v>
      </c>
      <c r="B54" s="3">
        <v>396.8</v>
      </c>
      <c r="C54" s="97">
        <f>B54*$L$54</f>
        <v>0.99093618161019159</v>
      </c>
      <c r="E54" s="2">
        <v>1779.3600000000001</v>
      </c>
      <c r="F54" s="97">
        <f>E54*$M$54</f>
        <v>4.6173476061809522</v>
      </c>
      <c r="L54" s="95">
        <f>AVERAGE(L2:L52)</f>
        <v>2.4973190060740714E-3</v>
      </c>
      <c r="M54" s="95">
        <f>AVERAGE(M2:M52)</f>
        <v>2.5949485242901674E-3</v>
      </c>
    </row>
    <row r="55" spans="1:13" x14ac:dyDescent="0.2">
      <c r="A55" s="5" t="s">
        <v>61</v>
      </c>
      <c r="B55" s="2">
        <v>984</v>
      </c>
      <c r="C55" s="97">
        <f>B55*$L$54</f>
        <v>2.4573619019768862</v>
      </c>
      <c r="E55" s="2">
        <v>3174.08</v>
      </c>
      <c r="F55" s="97">
        <f>E55*$M$54</f>
        <v>8.2365742119789349</v>
      </c>
    </row>
    <row r="57" spans="1:13" x14ac:dyDescent="0.2">
      <c r="C57" s="97">
        <f>AVERAGE(C53:C55)</f>
        <v>1.6142670055262798</v>
      </c>
      <c r="D57" s="6"/>
      <c r="F57" s="97">
        <f>AVERAGE(F53:F55)</f>
        <v>6.7109520755782599</v>
      </c>
    </row>
    <row r="58" spans="1:13" x14ac:dyDescent="0.2">
      <c r="B58" s="3"/>
      <c r="D58" s="6"/>
    </row>
    <row r="59" spans="1:13" x14ac:dyDescent="0.2">
      <c r="D59" s="6"/>
    </row>
    <row r="61" spans="1:13" x14ac:dyDescent="0.2">
      <c r="B61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2"/>
  <sheetViews>
    <sheetView zoomScale="90" zoomScaleNormal="90" workbookViewId="0"/>
  </sheetViews>
  <sheetFormatPr defaultRowHeight="12.75" x14ac:dyDescent="0.2"/>
  <cols>
    <col min="1" max="1" width="26.42578125" customWidth="1"/>
    <col min="2" max="2" width="16.85546875" customWidth="1"/>
    <col min="3" max="3" width="20" customWidth="1"/>
    <col min="4" max="4" width="38.7109375" customWidth="1"/>
    <col min="5" max="5" width="16.140625" customWidth="1"/>
    <col min="6" max="6" width="18.140625" customWidth="1"/>
    <col min="7" max="7" width="36.28515625" customWidth="1"/>
    <col min="8" max="8" width="18.85546875" customWidth="1"/>
    <col min="12" max="13" width="10.7109375" customWidth="1"/>
  </cols>
  <sheetData>
    <row r="1" spans="1:13" x14ac:dyDescent="0.2">
      <c r="A1" s="153" t="s">
        <v>0</v>
      </c>
      <c r="B1" s="153" t="s">
        <v>1</v>
      </c>
      <c r="C1" s="153" t="s">
        <v>2</v>
      </c>
      <c r="D1" s="154" t="s">
        <v>122</v>
      </c>
      <c r="E1" s="153" t="s">
        <v>4</v>
      </c>
      <c r="F1" s="153" t="s">
        <v>5</v>
      </c>
      <c r="G1" s="154" t="s">
        <v>123</v>
      </c>
      <c r="H1" s="153" t="s">
        <v>7</v>
      </c>
      <c r="L1" s="96" t="s">
        <v>111</v>
      </c>
      <c r="M1" s="96" t="s">
        <v>111</v>
      </c>
    </row>
    <row r="2" spans="1:13" x14ac:dyDescent="0.2">
      <c r="A2" s="1" t="s">
        <v>113</v>
      </c>
      <c r="B2" s="2">
        <v>2846.4</v>
      </c>
      <c r="C2" s="4">
        <v>8.3779087254251099</v>
      </c>
      <c r="D2" s="6">
        <v>7.3724654916543004</v>
      </c>
      <c r="E2" s="2">
        <v>8999.2000000000007</v>
      </c>
      <c r="F2" s="3">
        <v>27.446025755599202</v>
      </c>
      <c r="G2" s="7">
        <v>23.0590144004716</v>
      </c>
      <c r="H2" s="1"/>
      <c r="I2" s="9"/>
      <c r="L2" s="94">
        <f>C2/B2</f>
        <v>2.9433349934742514E-3</v>
      </c>
      <c r="M2" s="94">
        <f>F2/E2</f>
        <v>3.0498295132455329E-3</v>
      </c>
    </row>
    <row r="3" spans="1:13" x14ac:dyDescent="0.2">
      <c r="A3" s="1" t="s">
        <v>114</v>
      </c>
      <c r="B3" s="2">
        <v>3943.2</v>
      </c>
      <c r="C3" s="4">
        <v>11.6061585462677</v>
      </c>
      <c r="D3" s="6">
        <v>10.6007153124969</v>
      </c>
      <c r="E3" s="2">
        <v>8679.1999999999989</v>
      </c>
      <c r="F3" s="3">
        <v>26.283476556751399</v>
      </c>
      <c r="G3" s="7">
        <v>21.896465201623801</v>
      </c>
      <c r="H3" s="1"/>
      <c r="I3" s="9"/>
      <c r="L3" s="94">
        <f t="shared" ref="L3:L7" si="0">C3/B3</f>
        <v>2.9433349934742596E-3</v>
      </c>
      <c r="M3" s="94">
        <f t="shared" ref="M3:M7" si="1">F3/E3</f>
        <v>3.0283294032573743E-3</v>
      </c>
    </row>
    <row r="4" spans="1:13" x14ac:dyDescent="0.2">
      <c r="A4" s="1" t="s">
        <v>115</v>
      </c>
      <c r="B4" s="2">
        <v>3327.2</v>
      </c>
      <c r="C4" s="4">
        <v>9.7930641902875308</v>
      </c>
      <c r="D4" s="6">
        <v>8.7876209565167205</v>
      </c>
      <c r="E4" s="2">
        <v>8682.4</v>
      </c>
      <c r="F4" s="3">
        <v>26.3893423595744</v>
      </c>
      <c r="G4" s="7">
        <v>22.002331004446798</v>
      </c>
      <c r="H4" s="1"/>
      <c r="I4" s="9"/>
      <c r="L4" s="94">
        <f t="shared" si="0"/>
        <v>2.9433349934742522E-3</v>
      </c>
      <c r="M4" s="94">
        <f t="shared" si="1"/>
        <v>3.0394064267454161E-3</v>
      </c>
    </row>
    <row r="5" spans="1:13" x14ac:dyDescent="0.2">
      <c r="A5" s="1" t="s">
        <v>116</v>
      </c>
      <c r="B5" s="2">
        <v>1709.6</v>
      </c>
      <c r="C5" s="4">
        <v>5.0286973248865197</v>
      </c>
      <c r="D5" s="6">
        <v>4.0238991228619296</v>
      </c>
      <c r="E5" s="2">
        <v>4429.3599999999997</v>
      </c>
      <c r="F5" s="3">
        <v>13.452086883302901</v>
      </c>
      <c r="G5" s="7">
        <v>9.0678899701049396</v>
      </c>
      <c r="H5" s="1"/>
      <c r="I5" s="9"/>
      <c r="L5" s="94">
        <f t="shared" si="0"/>
        <v>2.9414467272382543E-3</v>
      </c>
      <c r="M5" s="94">
        <f t="shared" si="1"/>
        <v>3.0370272191248627E-3</v>
      </c>
    </row>
    <row r="6" spans="1:13" x14ac:dyDescent="0.2">
      <c r="A6" s="1" t="s">
        <v>117</v>
      </c>
      <c r="B6" s="2">
        <v>1602.4</v>
      </c>
      <c r="C6" s="4">
        <v>4.7133742357265804</v>
      </c>
      <c r="D6" s="6">
        <v>3.70857603370199</v>
      </c>
      <c r="E6" s="2">
        <v>4638.88</v>
      </c>
      <c r="F6" s="3">
        <v>14.1176797356016</v>
      </c>
      <c r="G6" s="7">
        <v>9.7334828224036691</v>
      </c>
      <c r="H6" s="1"/>
      <c r="I6" s="9"/>
      <c r="L6" s="94">
        <f t="shared" si="0"/>
        <v>2.9414467272382552E-3</v>
      </c>
      <c r="M6" s="94">
        <f t="shared" si="1"/>
        <v>3.0433379901186491E-3</v>
      </c>
    </row>
    <row r="7" spans="1:13" x14ac:dyDescent="0.2">
      <c r="A7" s="1" t="s">
        <v>118</v>
      </c>
      <c r="B7" s="2">
        <v>1728</v>
      </c>
      <c r="C7" s="4">
        <v>5.08281994466771</v>
      </c>
      <c r="D7" s="6">
        <v>4.07802174264312</v>
      </c>
      <c r="E7" s="2">
        <v>4381.2800000000007</v>
      </c>
      <c r="F7" s="3">
        <v>13.300313785137099</v>
      </c>
      <c r="G7" s="7">
        <v>8.9161168719391402</v>
      </c>
      <c r="H7" s="1"/>
      <c r="I7" s="9"/>
      <c r="L7" s="94">
        <f t="shared" si="0"/>
        <v>2.9414467272382582E-3</v>
      </c>
      <c r="M7" s="94">
        <f t="shared" si="1"/>
        <v>3.0357141714606457E-3</v>
      </c>
    </row>
    <row r="8" spans="1:13" x14ac:dyDescent="0.2">
      <c r="A8" s="1" t="s">
        <v>119</v>
      </c>
      <c r="B8" s="3">
        <v>307.2</v>
      </c>
      <c r="C8" s="97">
        <f>B8*$L$9</f>
        <v>0.9039024723014415</v>
      </c>
      <c r="D8" s="8"/>
      <c r="E8" s="1">
        <v>1311.3600000000001</v>
      </c>
      <c r="F8" s="97">
        <f>E8*$M$9</f>
        <v>3.985145390867054</v>
      </c>
      <c r="G8" s="8"/>
      <c r="H8" s="1"/>
      <c r="L8" s="93"/>
      <c r="M8" s="93"/>
    </row>
    <row r="9" spans="1:13" x14ac:dyDescent="0.2">
      <c r="A9" s="1" t="s">
        <v>120</v>
      </c>
      <c r="B9" s="3">
        <v>441.59999999999997</v>
      </c>
      <c r="C9" s="97">
        <f>B9*$L$9</f>
        <v>1.2993598039333221</v>
      </c>
      <c r="D9" s="8"/>
      <c r="E9" s="2">
        <v>1982.24</v>
      </c>
      <c r="F9" s="97">
        <f>E9*$M$9</f>
        <v>6.0239099862679266</v>
      </c>
      <c r="G9" s="8"/>
      <c r="H9" s="1"/>
      <c r="L9" s="95">
        <f>AVERAGE(L2:L7)</f>
        <v>2.942390860356255E-3</v>
      </c>
      <c r="M9" s="95">
        <f>AVERAGE(M2:M7)</f>
        <v>3.0389407873254132E-3</v>
      </c>
    </row>
    <row r="10" spans="1:13" x14ac:dyDescent="0.2">
      <c r="A10" s="1" t="s">
        <v>121</v>
      </c>
      <c r="B10" s="2">
        <v>276</v>
      </c>
      <c r="C10" s="97">
        <f>B10*$L$9</f>
        <v>0.81209987745832635</v>
      </c>
      <c r="D10" s="8"/>
      <c r="E10" s="2">
        <v>1004.64</v>
      </c>
      <c r="F10" s="97">
        <f>E10*$M$9</f>
        <v>3.0530414725786028</v>
      </c>
      <c r="G10" s="8"/>
      <c r="H10" s="1"/>
      <c r="L10" s="93"/>
      <c r="M10" s="93"/>
    </row>
    <row r="11" spans="1:13" x14ac:dyDescent="0.2">
      <c r="A11" s="1"/>
      <c r="B11" s="1"/>
      <c r="C11" s="1"/>
      <c r="D11" s="8"/>
      <c r="E11" s="1"/>
      <c r="F11" s="1"/>
      <c r="G11" s="8"/>
      <c r="H11" s="1"/>
      <c r="L11" s="93"/>
      <c r="M11" s="93"/>
    </row>
    <row r="12" spans="1:13" x14ac:dyDescent="0.2">
      <c r="A12" s="1"/>
      <c r="B12" s="1"/>
      <c r="C12" s="97">
        <f>AVERAGE(C8:C10)</f>
        <v>1.0051207178976966</v>
      </c>
      <c r="D12" s="6"/>
      <c r="E12" s="1"/>
      <c r="F12" s="131">
        <f>AVERAGE(F8:F10)</f>
        <v>4.3540322832378608</v>
      </c>
      <c r="G12" s="8"/>
      <c r="H12" s="1"/>
      <c r="L12" s="93"/>
      <c r="M12" s="9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Z57"/>
  <sheetViews>
    <sheetView zoomScale="80" zoomScaleNormal="80" workbookViewId="0">
      <selection activeCell="L1" sqref="L1"/>
    </sheetView>
  </sheetViews>
  <sheetFormatPr defaultRowHeight="15.75" customHeight="1" x14ac:dyDescent="0.2"/>
  <cols>
    <col min="1" max="1" width="10.140625" style="53" customWidth="1"/>
    <col min="2" max="2" width="18.85546875" style="53" customWidth="1"/>
    <col min="3" max="3" width="28.5703125" style="53" customWidth="1"/>
    <col min="4" max="4" width="8.7109375" style="53" customWidth="1"/>
    <col min="5" max="11" width="9.140625" style="53"/>
    <col min="12" max="12" width="25.85546875" style="53" customWidth="1"/>
    <col min="13" max="13" width="9.140625" style="53"/>
    <col min="14" max="56" width="2.85546875" style="53" customWidth="1"/>
    <col min="57" max="16384" width="9.140625" style="53"/>
  </cols>
  <sheetData>
    <row r="1" spans="2:52" ht="15.75" customHeight="1" x14ac:dyDescent="0.2">
      <c r="B1" s="156"/>
      <c r="C1" s="156"/>
      <c r="D1" s="156"/>
      <c r="E1" s="156"/>
      <c r="F1" s="156"/>
      <c r="G1" s="156"/>
      <c r="H1" s="156"/>
    </row>
    <row r="2" spans="2:52" ht="15.75" customHeight="1" thickBot="1" x14ac:dyDescent="0.25">
      <c r="B2" s="188" t="s">
        <v>95</v>
      </c>
      <c r="C2" s="188" t="s">
        <v>96</v>
      </c>
      <c r="D2" s="157"/>
      <c r="E2" s="190" t="s">
        <v>79</v>
      </c>
      <c r="F2" s="190"/>
      <c r="G2" s="190" t="s">
        <v>80</v>
      </c>
      <c r="H2" s="190"/>
    </row>
    <row r="3" spans="2:52" ht="15.75" customHeight="1" x14ac:dyDescent="0.2">
      <c r="B3" s="189"/>
      <c r="C3" s="189"/>
      <c r="D3" s="158"/>
      <c r="E3" s="157" t="s">
        <v>69</v>
      </c>
      <c r="F3" s="157" t="s">
        <v>70</v>
      </c>
      <c r="G3" s="157" t="s">
        <v>69</v>
      </c>
      <c r="H3" s="157" t="s">
        <v>70</v>
      </c>
      <c r="L3" s="144" t="s">
        <v>126</v>
      </c>
    </row>
    <row r="4" spans="2:52" ht="15.75" customHeight="1" x14ac:dyDescent="0.2">
      <c r="B4" s="191" t="s">
        <v>100</v>
      </c>
      <c r="C4" s="191"/>
      <c r="D4" s="191"/>
      <c r="E4" s="191"/>
      <c r="F4" s="191"/>
      <c r="G4" s="191"/>
      <c r="H4" s="191"/>
      <c r="L4" s="145" t="s">
        <v>127</v>
      </c>
      <c r="AY4" s="53">
        <v>0</v>
      </c>
      <c r="AZ4" s="53">
        <v>80</v>
      </c>
    </row>
    <row r="5" spans="2:52" ht="15.75" customHeight="1" x14ac:dyDescent="0.2">
      <c r="B5" s="192" t="s">
        <v>94</v>
      </c>
      <c r="C5" s="159" t="s">
        <v>92</v>
      </c>
      <c r="D5" s="160" t="s">
        <v>139</v>
      </c>
      <c r="E5" s="161">
        <f>'Final measured'!AB6</f>
        <v>20.163319316425376</v>
      </c>
      <c r="F5" s="161">
        <f>'Final measured'!AC6</f>
        <v>0.33108504127577915</v>
      </c>
      <c r="G5" s="161">
        <f>'Final measured'!AE6</f>
        <v>5.6137203391817785</v>
      </c>
      <c r="H5" s="161">
        <f>'Final measured'!AF6</f>
        <v>0.20879006887199583</v>
      </c>
      <c r="L5" s="146"/>
    </row>
    <row r="6" spans="2:52" ht="15.75" customHeight="1" thickBot="1" x14ac:dyDescent="0.25">
      <c r="B6" s="193"/>
      <c r="C6" s="162" t="s">
        <v>93</v>
      </c>
      <c r="D6" s="163" t="s">
        <v>139</v>
      </c>
      <c r="E6" s="164">
        <v>18.13364259013068</v>
      </c>
      <c r="F6" s="165"/>
      <c r="G6" s="164">
        <v>13.72099200202846</v>
      </c>
      <c r="H6" s="165"/>
      <c r="L6" s="147">
        <f>1/0.8376</f>
        <v>1.1938872970391594</v>
      </c>
    </row>
    <row r="7" spans="2:52" ht="15.75" customHeight="1" x14ac:dyDescent="0.2">
      <c r="B7" s="193"/>
      <c r="C7" s="166" t="s">
        <v>98</v>
      </c>
      <c r="D7" s="167" t="s">
        <v>140</v>
      </c>
      <c r="E7" s="168">
        <f>E5-E6</f>
        <v>2.0296767262946958</v>
      </c>
      <c r="F7" s="169"/>
      <c r="G7" s="168">
        <f>G5-G6</f>
        <v>-8.1072716628466814</v>
      </c>
      <c r="H7" s="169"/>
      <c r="P7" s="54"/>
    </row>
    <row r="8" spans="2:52" ht="15.75" customHeight="1" x14ac:dyDescent="0.2">
      <c r="B8" s="194"/>
      <c r="C8" s="170" t="s">
        <v>99</v>
      </c>
      <c r="D8" s="171" t="s">
        <v>102</v>
      </c>
      <c r="E8" s="172">
        <f>E5/E6</f>
        <v>1.1119287929166177</v>
      </c>
      <c r="F8" s="173"/>
      <c r="G8" s="172">
        <f>G5/G6</f>
        <v>0.40913370828813739</v>
      </c>
      <c r="H8" s="173"/>
      <c r="L8" s="187" t="s">
        <v>145</v>
      </c>
      <c r="N8" s="143"/>
      <c r="O8" s="143"/>
      <c r="P8" s="143"/>
      <c r="Q8" s="143"/>
    </row>
    <row r="9" spans="2:52" ht="15.75" customHeight="1" x14ac:dyDescent="0.2">
      <c r="B9" s="192" t="s">
        <v>97</v>
      </c>
      <c r="C9" s="159" t="s">
        <v>92</v>
      </c>
      <c r="D9" s="160" t="s">
        <v>139</v>
      </c>
      <c r="E9" s="161">
        <f>'Final measured'!AB5</f>
        <v>38.044324668148505</v>
      </c>
      <c r="F9" s="161">
        <f>'Final measured'!AC5</f>
        <v>0.81338777798483075</v>
      </c>
      <c r="G9" s="161">
        <f>'Final measured'!AE5</f>
        <v>10.319711299146563</v>
      </c>
      <c r="H9" s="161">
        <f>'Final measured'!AF5</f>
        <v>0.45288293828615661</v>
      </c>
      <c r="K9" s="136"/>
      <c r="L9" s="187"/>
    </row>
    <row r="10" spans="2:52" ht="15.75" customHeight="1" x14ac:dyDescent="0.2">
      <c r="B10" s="193"/>
      <c r="C10" s="162" t="s">
        <v>93</v>
      </c>
      <c r="D10" s="163" t="s">
        <v>139</v>
      </c>
      <c r="E10" s="164">
        <v>37.651072093277705</v>
      </c>
      <c r="F10" s="165"/>
      <c r="G10" s="164">
        <v>14.208339274098583</v>
      </c>
      <c r="H10" s="165"/>
      <c r="L10" s="187"/>
    </row>
    <row r="11" spans="2:52" ht="15.75" customHeight="1" x14ac:dyDescent="0.2">
      <c r="B11" s="195"/>
      <c r="C11" s="166" t="s">
        <v>98</v>
      </c>
      <c r="D11" s="167" t="s">
        <v>140</v>
      </c>
      <c r="E11" s="168">
        <f>E9-E10</f>
        <v>0.39325257487080023</v>
      </c>
      <c r="F11" s="169"/>
      <c r="G11" s="168">
        <f>G9-G10</f>
        <v>-3.8886279749520192</v>
      </c>
      <c r="H11" s="169"/>
    </row>
    <row r="12" spans="2:52" ht="15.75" customHeight="1" x14ac:dyDescent="0.2">
      <c r="B12" s="194"/>
      <c r="C12" s="170" t="s">
        <v>99</v>
      </c>
      <c r="D12" s="171" t="s">
        <v>102</v>
      </c>
      <c r="E12" s="172">
        <f>E9/E10</f>
        <v>1.0104446580935742</v>
      </c>
      <c r="F12" s="173"/>
      <c r="G12" s="172">
        <f>G9/G10</f>
        <v>0.72631368804369112</v>
      </c>
      <c r="H12" s="173"/>
    </row>
    <row r="13" spans="2:52" ht="15.75" customHeight="1" x14ac:dyDescent="0.2">
      <c r="B13" s="191" t="s">
        <v>101</v>
      </c>
      <c r="C13" s="191"/>
      <c r="D13" s="191"/>
      <c r="E13" s="196"/>
      <c r="F13" s="191"/>
      <c r="G13" s="196"/>
      <c r="H13" s="191"/>
    </row>
    <row r="14" spans="2:52" ht="15.75" customHeight="1" x14ac:dyDescent="0.2">
      <c r="B14" s="192" t="s">
        <v>94</v>
      </c>
      <c r="C14" s="159" t="s">
        <v>92</v>
      </c>
      <c r="D14" s="174" t="s">
        <v>139</v>
      </c>
      <c r="E14" s="161">
        <f>'Final measured'!AB61</f>
        <v>22.524914924487717</v>
      </c>
      <c r="F14" s="161">
        <f>'Final measured'!AC61</f>
        <v>9.4280372191919662E-2</v>
      </c>
      <c r="G14" s="161">
        <f>'Final measured'!AE61</f>
        <v>6.0830938134278654</v>
      </c>
      <c r="H14" s="161">
        <f>'Final measured'!AF61</f>
        <v>5.5657377554701633E-2</v>
      </c>
    </row>
    <row r="15" spans="2:52" ht="15.75" customHeight="1" x14ac:dyDescent="0.2">
      <c r="B15" s="193"/>
      <c r="C15" s="162" t="s">
        <v>93</v>
      </c>
      <c r="D15" s="175" t="s">
        <v>139</v>
      </c>
      <c r="E15" s="164">
        <v>21.905255483834559</v>
      </c>
      <c r="F15" s="176"/>
      <c r="G15" s="164">
        <v>15.645836074778327</v>
      </c>
      <c r="H15" s="177"/>
    </row>
    <row r="16" spans="2:52" ht="15.75" customHeight="1" x14ac:dyDescent="0.2">
      <c r="B16" s="193"/>
      <c r="C16" s="166" t="s">
        <v>98</v>
      </c>
      <c r="D16" s="167" t="s">
        <v>140</v>
      </c>
      <c r="E16" s="178">
        <f>E14-E15</f>
        <v>0.61965944065315881</v>
      </c>
      <c r="F16" s="169"/>
      <c r="G16" s="178">
        <f>G14-G15</f>
        <v>-9.5627422613504613</v>
      </c>
      <c r="H16" s="169"/>
    </row>
    <row r="17" spans="2:12" ht="15.75" customHeight="1" x14ac:dyDescent="0.2">
      <c r="B17" s="194"/>
      <c r="C17" s="170" t="s">
        <v>99</v>
      </c>
      <c r="D17" s="171" t="s">
        <v>102</v>
      </c>
      <c r="E17" s="179">
        <f>E14/E15</f>
        <v>1.0282881631355749</v>
      </c>
      <c r="F17" s="173"/>
      <c r="G17" s="179">
        <f>G14/G15</f>
        <v>0.38879953646159188</v>
      </c>
      <c r="H17" s="173"/>
    </row>
    <row r="18" spans="2:12" ht="15.75" customHeight="1" x14ac:dyDescent="0.2">
      <c r="B18" s="192" t="s">
        <v>97</v>
      </c>
      <c r="C18" s="159" t="s">
        <v>92</v>
      </c>
      <c r="D18" s="174" t="s">
        <v>139</v>
      </c>
      <c r="E18" s="161">
        <f>'Final measured'!AB60</f>
        <v>53.042393399532216</v>
      </c>
      <c r="F18" s="161">
        <f>'Final measured'!AC60</f>
        <v>0.24633979332318762</v>
      </c>
      <c r="G18" s="161">
        <f>'Final measured'!AE60</f>
        <v>13.5493792300144</v>
      </c>
      <c r="H18" s="161">
        <f>'Final measured'!AF60</f>
        <v>0.80108732036592356</v>
      </c>
    </row>
    <row r="19" spans="2:12" ht="15.75" customHeight="1" x14ac:dyDescent="0.2">
      <c r="B19" s="193"/>
      <c r="C19" s="162" t="s">
        <v>93</v>
      </c>
      <c r="D19" s="175" t="s">
        <v>139</v>
      </c>
      <c r="E19" s="164">
        <v>66.137791996550504</v>
      </c>
      <c r="F19" s="176"/>
      <c r="G19" s="164">
        <v>24.619779451439381</v>
      </c>
      <c r="H19" s="177"/>
    </row>
    <row r="20" spans="2:12" ht="15.75" customHeight="1" x14ac:dyDescent="0.2">
      <c r="B20" s="193"/>
      <c r="C20" s="166" t="s">
        <v>98</v>
      </c>
      <c r="D20" s="167" t="s">
        <v>140</v>
      </c>
      <c r="E20" s="178">
        <f>E18-E19</f>
        <v>-13.095398597018288</v>
      </c>
      <c r="F20" s="169"/>
      <c r="G20" s="178">
        <f>G18-G19</f>
        <v>-11.070400221424981</v>
      </c>
      <c r="H20" s="169"/>
    </row>
    <row r="21" spans="2:12" ht="15.75" customHeight="1" x14ac:dyDescent="0.2">
      <c r="B21" s="194"/>
      <c r="C21" s="170" t="s">
        <v>99</v>
      </c>
      <c r="D21" s="171" t="s">
        <v>102</v>
      </c>
      <c r="E21" s="172">
        <f>E18/E19</f>
        <v>0.80199824938665487</v>
      </c>
      <c r="F21" s="173"/>
      <c r="G21" s="172">
        <f>G18/G19</f>
        <v>0.55034527245621789</v>
      </c>
      <c r="H21" s="173"/>
    </row>
    <row r="22" spans="2:12" ht="15.75" customHeight="1" x14ac:dyDescent="0.2">
      <c r="B22" s="191" t="s">
        <v>103</v>
      </c>
      <c r="C22" s="191"/>
      <c r="D22" s="191"/>
      <c r="E22" s="191"/>
      <c r="F22" s="191"/>
      <c r="G22" s="191"/>
      <c r="H22" s="191"/>
    </row>
    <row r="23" spans="2:12" ht="15.75" customHeight="1" x14ac:dyDescent="0.2">
      <c r="B23" s="192" t="s">
        <v>94</v>
      </c>
      <c r="C23" s="159" t="s">
        <v>92</v>
      </c>
      <c r="D23" s="160" t="s">
        <v>139</v>
      </c>
      <c r="E23" s="164">
        <f>'Final measured'!AB116</f>
        <v>25.526830964102249</v>
      </c>
      <c r="F23" s="164">
        <f>'Final measured'!AC116</f>
        <v>0.47033682549734979</v>
      </c>
      <c r="G23" s="164">
        <f>'Final measured'!AE116</f>
        <v>9.2594018845883124</v>
      </c>
      <c r="H23" s="164">
        <f>'Final measured'!AF116</f>
        <v>0.21584264475636286</v>
      </c>
    </row>
    <row r="24" spans="2:12" ht="15.75" customHeight="1" x14ac:dyDescent="0.2">
      <c r="B24" s="193"/>
      <c r="C24" s="162" t="s">
        <v>93</v>
      </c>
      <c r="D24" s="163" t="s">
        <v>139</v>
      </c>
      <c r="E24" s="164">
        <v>23.701056004425016</v>
      </c>
      <c r="F24" s="165"/>
      <c r="G24" s="164">
        <v>14.653575869823241</v>
      </c>
      <c r="H24" s="165"/>
    </row>
    <row r="25" spans="2:12" ht="15.75" customHeight="1" x14ac:dyDescent="0.2">
      <c r="B25" s="193"/>
      <c r="C25" s="166" t="s">
        <v>98</v>
      </c>
      <c r="D25" s="167" t="s">
        <v>140</v>
      </c>
      <c r="E25" s="168">
        <f>E23-E24</f>
        <v>1.8257749596772328</v>
      </c>
      <c r="F25" s="169"/>
      <c r="G25" s="168">
        <f>G23-G24</f>
        <v>-5.3941739852349286</v>
      </c>
      <c r="H25" s="169"/>
    </row>
    <row r="26" spans="2:12" ht="15.75" customHeight="1" x14ac:dyDescent="0.2">
      <c r="B26" s="194"/>
      <c r="C26" s="170" t="s">
        <v>99</v>
      </c>
      <c r="D26" s="171" t="s">
        <v>102</v>
      </c>
      <c r="E26" s="172">
        <f>E23/E24</f>
        <v>1.0770334857373596</v>
      </c>
      <c r="F26" s="173"/>
      <c r="G26" s="172">
        <f>G23/G24</f>
        <v>0.63188684911077642</v>
      </c>
      <c r="H26" s="173"/>
    </row>
    <row r="27" spans="2:12" ht="15.75" customHeight="1" x14ac:dyDescent="0.2">
      <c r="B27" s="192" t="s">
        <v>97</v>
      </c>
      <c r="C27" s="159" t="s">
        <v>92</v>
      </c>
      <c r="D27" s="160" t="s">
        <v>139</v>
      </c>
      <c r="E27" s="164">
        <f>'Final measured'!AB115</f>
        <v>50.041012514796726</v>
      </c>
      <c r="F27" s="164">
        <f>'Final measured'!AC115</f>
        <v>0.69541115700953471</v>
      </c>
      <c r="G27" s="164">
        <f>'Final measured'!AE115</f>
        <v>18.598343676139574</v>
      </c>
      <c r="H27" s="164">
        <f>'Final measured'!AF115</f>
        <v>1.7505972703128725</v>
      </c>
    </row>
    <row r="28" spans="2:12" ht="15.75" customHeight="1" x14ac:dyDescent="0.2">
      <c r="B28" s="193"/>
      <c r="C28" s="162" t="s">
        <v>93</v>
      </c>
      <c r="D28" s="163" t="s">
        <v>139</v>
      </c>
      <c r="E28" s="164">
        <v>66.976054878478877</v>
      </c>
      <c r="F28" s="165"/>
      <c r="G28" s="164">
        <v>24.762284728806133</v>
      </c>
      <c r="H28" s="165"/>
    </row>
    <row r="29" spans="2:12" ht="15.75" customHeight="1" x14ac:dyDescent="0.2">
      <c r="B29" s="193"/>
      <c r="C29" s="166" t="s">
        <v>98</v>
      </c>
      <c r="D29" s="167" t="s">
        <v>140</v>
      </c>
      <c r="E29" s="168">
        <f>E27-E28</f>
        <v>-16.93504236368215</v>
      </c>
      <c r="F29" s="169"/>
      <c r="G29" s="168">
        <f>G27-G28</f>
        <v>-6.1639410526665586</v>
      </c>
      <c r="H29" s="169"/>
    </row>
    <row r="30" spans="2:12" ht="15.75" customHeight="1" x14ac:dyDescent="0.2">
      <c r="B30" s="194"/>
      <c r="C30" s="170" t="s">
        <v>99</v>
      </c>
      <c r="D30" s="171" t="s">
        <v>102</v>
      </c>
      <c r="E30" s="172">
        <f>E27/E28</f>
        <v>0.74714780686307913</v>
      </c>
      <c r="F30" s="173"/>
      <c r="G30" s="172">
        <f>G27/G28</f>
        <v>0.75107543103661978</v>
      </c>
      <c r="H30" s="173"/>
    </row>
    <row r="32" spans="2:12" ht="15.75" customHeight="1" x14ac:dyDescent="0.2">
      <c r="L32" s="136"/>
    </row>
    <row r="33" spans="1:16" ht="15.75" customHeight="1" x14ac:dyDescent="0.2">
      <c r="L33" s="136"/>
    </row>
    <row r="34" spans="1:16" ht="15.75" customHeight="1" thickBot="1" x14ac:dyDescent="0.25">
      <c r="L34" s="136"/>
    </row>
    <row r="35" spans="1:16" ht="15.75" customHeight="1" x14ac:dyDescent="0.2">
      <c r="J35" s="138"/>
      <c r="K35" s="138"/>
      <c r="L35" s="144" t="s">
        <v>128</v>
      </c>
    </row>
    <row r="36" spans="1:16" ht="15.75" customHeight="1" x14ac:dyDescent="0.2">
      <c r="B36" s="56" t="s">
        <v>106</v>
      </c>
      <c r="J36" s="138"/>
      <c r="K36" s="138"/>
      <c r="L36" s="145" t="s">
        <v>127</v>
      </c>
    </row>
    <row r="37" spans="1:16" ht="15.75" customHeight="1" x14ac:dyDescent="0.2">
      <c r="J37" s="139"/>
      <c r="K37" s="139"/>
      <c r="L37" s="146"/>
    </row>
    <row r="38" spans="1:16" ht="15.75" customHeight="1" thickBot="1" x14ac:dyDescent="0.25">
      <c r="B38" s="58" t="s">
        <v>92</v>
      </c>
      <c r="C38" s="58" t="s">
        <v>93</v>
      </c>
      <c r="J38" s="140"/>
      <c r="K38" s="140"/>
      <c r="L38" s="147">
        <f>1/0.6035</f>
        <v>1.6570008285004141</v>
      </c>
    </row>
    <row r="39" spans="1:16" ht="15.75" customHeight="1" x14ac:dyDescent="0.2">
      <c r="A39" s="57" t="s">
        <v>104</v>
      </c>
      <c r="B39" s="55">
        <f>E5</f>
        <v>20.163319316425376</v>
      </c>
      <c r="C39" s="55">
        <f>E6</f>
        <v>18.13364259013068</v>
      </c>
      <c r="J39" s="138"/>
      <c r="K39" s="138"/>
      <c r="L39" s="136"/>
    </row>
    <row r="40" spans="1:16" ht="15.75" customHeight="1" x14ac:dyDescent="0.2">
      <c r="B40" s="55">
        <f>E14</f>
        <v>22.524914924487717</v>
      </c>
      <c r="C40" s="55">
        <f>E15</f>
        <v>21.905255483834559</v>
      </c>
      <c r="J40" s="138"/>
      <c r="K40" s="136"/>
      <c r="L40" s="187" t="s">
        <v>146</v>
      </c>
    </row>
    <row r="41" spans="1:16" ht="15.75" customHeight="1" x14ac:dyDescent="0.2">
      <c r="B41" s="55">
        <f>E23</f>
        <v>25.526830964102249</v>
      </c>
      <c r="C41" s="55">
        <f>E24</f>
        <v>23.701056004425016</v>
      </c>
      <c r="J41" s="138"/>
      <c r="L41" s="187"/>
    </row>
    <row r="42" spans="1:16" ht="15.75" customHeight="1" x14ac:dyDescent="0.2">
      <c r="J42" s="138"/>
      <c r="L42" s="187"/>
    </row>
    <row r="43" spans="1:16" ht="15.75" customHeight="1" x14ac:dyDescent="0.2">
      <c r="A43" s="57" t="s">
        <v>105</v>
      </c>
      <c r="B43" s="55">
        <f>E9</f>
        <v>38.044324668148505</v>
      </c>
      <c r="C43" s="55">
        <f>E10</f>
        <v>37.651072093277705</v>
      </c>
      <c r="J43" s="138"/>
      <c r="M43" s="55"/>
      <c r="O43" s="55"/>
      <c r="P43" s="55"/>
    </row>
    <row r="44" spans="1:16" ht="15.75" customHeight="1" x14ac:dyDescent="0.2">
      <c r="B44" s="55">
        <f>E18</f>
        <v>53.042393399532216</v>
      </c>
      <c r="C44" s="55">
        <f>E19</f>
        <v>66.137791996550504</v>
      </c>
      <c r="J44" s="138"/>
      <c r="K44" s="138"/>
      <c r="L44" s="137"/>
      <c r="M44" s="55"/>
      <c r="O44" s="55"/>
      <c r="P44" s="55"/>
    </row>
    <row r="45" spans="1:16" ht="15.75" customHeight="1" x14ac:dyDescent="0.2">
      <c r="B45" s="55">
        <f>E27</f>
        <v>50.041012514796726</v>
      </c>
      <c r="C45" s="55">
        <f>E28</f>
        <v>66.976054878478877</v>
      </c>
      <c r="J45" s="138"/>
      <c r="K45" s="138"/>
      <c r="L45" s="137"/>
      <c r="M45" s="55"/>
      <c r="O45" s="55"/>
      <c r="P45" s="55"/>
    </row>
    <row r="46" spans="1:16" ht="15.75" customHeight="1" x14ac:dyDescent="0.2">
      <c r="J46" s="141"/>
      <c r="K46" s="141"/>
      <c r="L46" s="136"/>
    </row>
    <row r="47" spans="1:16" ht="15.75" customHeight="1" x14ac:dyDescent="0.2">
      <c r="J47" s="141"/>
      <c r="K47" s="141"/>
      <c r="L47" s="136"/>
    </row>
    <row r="48" spans="1:16" ht="15.75" customHeight="1" x14ac:dyDescent="0.2">
      <c r="B48" s="56" t="s">
        <v>107</v>
      </c>
      <c r="J48" s="141"/>
      <c r="K48" s="141"/>
      <c r="L48" s="136"/>
    </row>
    <row r="49" spans="1:12" ht="15.75" customHeight="1" x14ac:dyDescent="0.2">
      <c r="J49" s="138"/>
      <c r="K49" s="138"/>
      <c r="L49" s="136"/>
    </row>
    <row r="50" spans="1:12" ht="15.75" customHeight="1" x14ac:dyDescent="0.2">
      <c r="B50" s="58" t="s">
        <v>92</v>
      </c>
      <c r="C50" s="58" t="s">
        <v>93</v>
      </c>
      <c r="J50" s="138"/>
      <c r="K50" s="138"/>
      <c r="L50" s="136"/>
    </row>
    <row r="51" spans="1:12" ht="15.75" customHeight="1" x14ac:dyDescent="0.2">
      <c r="A51" s="57" t="s">
        <v>104</v>
      </c>
      <c r="B51" s="55">
        <f>G5</f>
        <v>5.6137203391817785</v>
      </c>
      <c r="C51" s="55">
        <f>G6</f>
        <v>13.72099200202846</v>
      </c>
      <c r="J51" s="138"/>
      <c r="K51" s="138"/>
      <c r="L51" s="136"/>
    </row>
    <row r="52" spans="1:12" ht="15.75" customHeight="1" x14ac:dyDescent="0.2">
      <c r="B52" s="55">
        <f>G14</f>
        <v>6.0830938134278654</v>
      </c>
      <c r="C52" s="55">
        <f>G15</f>
        <v>15.645836074778327</v>
      </c>
      <c r="J52" s="138"/>
      <c r="K52" s="138"/>
      <c r="L52" s="136"/>
    </row>
    <row r="53" spans="1:12" ht="15.75" customHeight="1" x14ac:dyDescent="0.2">
      <c r="B53" s="55">
        <f>G23</f>
        <v>9.2594018845883124</v>
      </c>
      <c r="C53" s="55">
        <f>G24</f>
        <v>14.653575869823241</v>
      </c>
      <c r="J53" s="138"/>
      <c r="K53" s="138"/>
      <c r="L53" s="136"/>
    </row>
    <row r="54" spans="1:12" ht="15.75" customHeight="1" x14ac:dyDescent="0.2">
      <c r="J54" s="138"/>
      <c r="K54" s="138"/>
      <c r="L54" s="136"/>
    </row>
    <row r="55" spans="1:12" ht="15.75" customHeight="1" x14ac:dyDescent="0.2">
      <c r="A55" s="57" t="s">
        <v>105</v>
      </c>
      <c r="B55" s="55">
        <f>G9</f>
        <v>10.319711299146563</v>
      </c>
      <c r="C55" s="55">
        <f>G10</f>
        <v>14.208339274098583</v>
      </c>
      <c r="J55" s="138"/>
      <c r="K55" s="138"/>
    </row>
    <row r="56" spans="1:12" ht="15.75" customHeight="1" x14ac:dyDescent="0.2">
      <c r="B56" s="55">
        <f>G18</f>
        <v>13.5493792300144</v>
      </c>
      <c r="C56" s="55">
        <f>G19</f>
        <v>24.619779451439381</v>
      </c>
      <c r="J56" s="138"/>
      <c r="K56" s="138"/>
    </row>
    <row r="57" spans="1:12" ht="15.75" customHeight="1" x14ac:dyDescent="0.2">
      <c r="B57" s="55">
        <f>G27</f>
        <v>18.598343676139574</v>
      </c>
      <c r="C57" s="55">
        <f>G28</f>
        <v>24.762284728806133</v>
      </c>
      <c r="J57" s="138"/>
      <c r="K57" s="138"/>
    </row>
  </sheetData>
  <mergeCells count="15">
    <mergeCell ref="L8:L10"/>
    <mergeCell ref="L40:L42"/>
    <mergeCell ref="B2:B3"/>
    <mergeCell ref="C2:C3"/>
    <mergeCell ref="E2:F2"/>
    <mergeCell ref="G2:H2"/>
    <mergeCell ref="B4:H4"/>
    <mergeCell ref="B23:B26"/>
    <mergeCell ref="B27:B30"/>
    <mergeCell ref="B5:B8"/>
    <mergeCell ref="B9:B12"/>
    <mergeCell ref="B13:H13"/>
    <mergeCell ref="B14:B17"/>
    <mergeCell ref="B18:B21"/>
    <mergeCell ref="B22:H2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AV131"/>
  <sheetViews>
    <sheetView zoomScale="90" zoomScaleNormal="90" workbookViewId="0"/>
  </sheetViews>
  <sheetFormatPr defaultRowHeight="12" x14ac:dyDescent="0.2"/>
  <cols>
    <col min="1" max="1" width="6.42578125" style="10" customWidth="1"/>
    <col min="2" max="2" width="9.5703125" style="10" customWidth="1"/>
    <col min="3" max="3" width="9.85546875" style="10" customWidth="1"/>
    <col min="4" max="4" width="9.7109375" style="10" customWidth="1"/>
    <col min="5" max="5" width="10.140625" style="10" customWidth="1"/>
    <col min="6" max="6" width="9" style="10" customWidth="1"/>
    <col min="7" max="7" width="10.140625" style="10" customWidth="1"/>
    <col min="8" max="8" width="17.85546875" style="10" customWidth="1"/>
    <col min="9" max="9" width="9.140625" style="10" customWidth="1"/>
    <col min="10" max="10" width="9.5703125" style="10" customWidth="1"/>
    <col min="11" max="12" width="21.140625" style="11" customWidth="1"/>
    <col min="13" max="14" width="14.42578125" style="11" customWidth="1"/>
    <col min="15" max="15" width="12.42578125" style="10" customWidth="1"/>
    <col min="16" max="16" width="14.28515625" style="10" customWidth="1"/>
    <col min="17" max="17" width="4.85546875" style="10" customWidth="1"/>
    <col min="18" max="20" width="10.42578125" style="10" customWidth="1"/>
    <col min="21" max="21" width="3.42578125" style="10" customWidth="1"/>
    <col min="22" max="26" width="10.42578125" style="10" customWidth="1"/>
    <col min="27" max="27" width="2.140625" style="10" customWidth="1"/>
    <col min="28" max="29" width="10.42578125" style="10" customWidth="1"/>
    <col min="30" max="30" width="1.28515625" style="10" customWidth="1"/>
    <col min="31" max="32" width="10.42578125" style="10" customWidth="1"/>
    <col min="33" max="33" width="2.140625" style="10" customWidth="1"/>
    <col min="34" max="38" width="10.42578125" style="10" customWidth="1"/>
    <col min="39" max="39" width="9.7109375" style="10" customWidth="1"/>
    <col min="40" max="40" width="4.28515625" style="10" customWidth="1"/>
    <col min="41" max="42" width="9.140625" style="10"/>
    <col min="43" max="43" width="3.7109375" style="10" customWidth="1"/>
    <col min="44" max="45" width="9.140625" style="10"/>
    <col min="46" max="46" width="3.140625" style="10" customWidth="1"/>
    <col min="47" max="16384" width="9.140625" style="10"/>
  </cols>
  <sheetData>
    <row r="1" spans="1:48" ht="12.75" customHeight="1" thickBot="1" x14ac:dyDescent="0.25">
      <c r="A1" s="64"/>
      <c r="B1" s="80"/>
      <c r="C1" s="80"/>
      <c r="D1" s="80"/>
      <c r="E1" s="80"/>
      <c r="F1" s="80"/>
      <c r="G1" s="80"/>
      <c r="H1" s="80"/>
      <c r="I1" s="80"/>
      <c r="J1" s="80"/>
      <c r="K1" s="81"/>
      <c r="L1" s="80"/>
      <c r="M1" s="80"/>
      <c r="N1" s="80"/>
      <c r="O1" s="81"/>
      <c r="P1" s="80"/>
      <c r="Q1" s="64"/>
      <c r="R1" s="40" t="s">
        <v>84</v>
      </c>
      <c r="S1" s="28"/>
      <c r="T1" s="28"/>
      <c r="U1" s="28"/>
      <c r="V1" s="28"/>
      <c r="W1" s="28"/>
      <c r="X1" s="28"/>
      <c r="Z1" s="15" t="s">
        <v>75</v>
      </c>
      <c r="AA1" s="16"/>
      <c r="AB1" s="16"/>
      <c r="AC1" s="16"/>
      <c r="AD1" s="16"/>
      <c r="AE1" s="16"/>
      <c r="AF1" s="16"/>
      <c r="AG1" s="197" t="s">
        <v>110</v>
      </c>
      <c r="AH1" s="197"/>
      <c r="AM1" s="15" t="s">
        <v>75</v>
      </c>
      <c r="AN1" s="16"/>
      <c r="AO1" s="16"/>
      <c r="AP1" s="16"/>
      <c r="AQ1" s="16"/>
      <c r="AR1" s="16"/>
      <c r="AS1" s="16"/>
      <c r="AT1" s="197" t="s">
        <v>124</v>
      </c>
      <c r="AU1" s="197"/>
      <c r="AV1" s="124"/>
    </row>
    <row r="2" spans="1:48" ht="22.5" customHeight="1" thickBot="1" x14ac:dyDescent="0.25">
      <c r="A2" s="64"/>
      <c r="B2" s="80"/>
      <c r="C2" s="80"/>
      <c r="D2" s="80"/>
      <c r="E2" s="80"/>
      <c r="F2" s="80"/>
      <c r="G2" s="80"/>
      <c r="H2" s="80"/>
      <c r="I2" s="80"/>
      <c r="J2" s="80"/>
      <c r="K2" s="81"/>
      <c r="L2" s="80"/>
      <c r="M2" s="201" t="s">
        <v>82</v>
      </c>
      <c r="N2" s="202"/>
      <c r="O2" s="202"/>
      <c r="P2" s="203"/>
      <c r="Q2" s="64"/>
      <c r="R2" s="41" t="s">
        <v>81</v>
      </c>
      <c r="T2" s="10" t="s">
        <v>85</v>
      </c>
      <c r="V2" s="41" t="s">
        <v>81</v>
      </c>
      <c r="X2" s="10">
        <v>2</v>
      </c>
      <c r="AG2" s="197"/>
      <c r="AH2" s="197"/>
      <c r="AJ2" s="200" t="s">
        <v>125</v>
      </c>
      <c r="AK2" s="200"/>
      <c r="AT2" s="197"/>
      <c r="AU2" s="197"/>
      <c r="AV2" s="124"/>
    </row>
    <row r="3" spans="1:48" ht="12.75" customHeight="1" thickBot="1" x14ac:dyDescent="0.25">
      <c r="A3" s="64"/>
      <c r="B3" s="80"/>
      <c r="C3" s="80"/>
      <c r="D3" s="80"/>
      <c r="E3" s="80"/>
      <c r="F3" s="80"/>
      <c r="G3" s="80"/>
      <c r="I3" s="80"/>
      <c r="J3" s="80"/>
      <c r="K3" s="82"/>
      <c r="L3" s="80"/>
      <c r="M3" s="204" t="s">
        <v>110</v>
      </c>
      <c r="N3" s="205"/>
      <c r="O3" s="206" t="s">
        <v>144</v>
      </c>
      <c r="P3" s="207"/>
      <c r="Q3" s="64"/>
      <c r="R3" s="208" t="s">
        <v>79</v>
      </c>
      <c r="S3" s="208"/>
      <c r="T3" s="208"/>
      <c r="V3" s="208" t="s">
        <v>80</v>
      </c>
      <c r="W3" s="208"/>
      <c r="X3" s="208"/>
      <c r="Z3" s="198" t="s">
        <v>71</v>
      </c>
      <c r="AB3" s="199" t="s">
        <v>67</v>
      </c>
      <c r="AC3" s="199"/>
      <c r="AE3" s="199" t="s">
        <v>68</v>
      </c>
      <c r="AF3" s="199"/>
      <c r="AH3" s="59" t="s">
        <v>74</v>
      </c>
      <c r="AM3" s="198" t="s">
        <v>71</v>
      </c>
      <c r="AO3" s="199" t="s">
        <v>67</v>
      </c>
      <c r="AP3" s="199"/>
      <c r="AR3" s="199" t="s">
        <v>68</v>
      </c>
      <c r="AS3" s="199"/>
      <c r="AU3" s="130" t="s">
        <v>74</v>
      </c>
      <c r="AV3" s="124"/>
    </row>
    <row r="4" spans="1:48" ht="28.5" customHeight="1" thickBot="1" x14ac:dyDescent="0.25">
      <c r="A4" s="87" t="s">
        <v>66</v>
      </c>
      <c r="B4" s="88" t="s">
        <v>0</v>
      </c>
      <c r="C4" s="88" t="s">
        <v>62</v>
      </c>
      <c r="D4" s="88" t="s">
        <v>63</v>
      </c>
      <c r="E4" s="88" t="s">
        <v>64</v>
      </c>
      <c r="F4" s="88" t="s">
        <v>65</v>
      </c>
      <c r="G4" s="88" t="s">
        <v>86</v>
      </c>
      <c r="H4" s="182" t="s">
        <v>83</v>
      </c>
      <c r="I4" s="89" t="s">
        <v>108</v>
      </c>
      <c r="J4" s="89" t="s">
        <v>109</v>
      </c>
      <c r="K4" s="90" t="s">
        <v>143</v>
      </c>
      <c r="L4" s="90" t="s">
        <v>142</v>
      </c>
      <c r="M4" s="91" t="s">
        <v>67</v>
      </c>
      <c r="N4" s="92" t="s">
        <v>68</v>
      </c>
      <c r="O4" s="91" t="s">
        <v>67</v>
      </c>
      <c r="P4" s="92" t="s">
        <v>68</v>
      </c>
      <c r="Q4" s="64"/>
      <c r="R4" s="38" t="s">
        <v>76</v>
      </c>
      <c r="S4" s="38" t="s">
        <v>77</v>
      </c>
      <c r="T4" s="38" t="s">
        <v>78</v>
      </c>
      <c r="U4" s="39"/>
      <c r="V4" s="38" t="s">
        <v>76</v>
      </c>
      <c r="W4" s="38" t="s">
        <v>77</v>
      </c>
      <c r="X4" s="38" t="s">
        <v>78</v>
      </c>
      <c r="Z4" s="198"/>
      <c r="AB4" s="14" t="s">
        <v>69</v>
      </c>
      <c r="AC4" s="14" t="s">
        <v>70</v>
      </c>
      <c r="AE4" s="14" t="s">
        <v>69</v>
      </c>
      <c r="AF4" s="14" t="s">
        <v>70</v>
      </c>
      <c r="AJ4" s="142" t="s">
        <v>79</v>
      </c>
      <c r="AK4" s="142" t="s">
        <v>80</v>
      </c>
      <c r="AM4" s="198"/>
      <c r="AO4" s="14" t="s">
        <v>69</v>
      </c>
      <c r="AP4" s="14" t="s">
        <v>70</v>
      </c>
      <c r="AR4" s="14" t="s">
        <v>69</v>
      </c>
      <c r="AS4" s="14" t="s">
        <v>70</v>
      </c>
      <c r="AV4" s="124"/>
    </row>
    <row r="5" spans="1:48" ht="12.75" thickBot="1" x14ac:dyDescent="0.25">
      <c r="A5" s="22">
        <v>1</v>
      </c>
      <c r="B5" s="23" t="s">
        <v>8</v>
      </c>
      <c r="C5" s="24">
        <v>42748</v>
      </c>
      <c r="D5" s="25">
        <v>0.41666666666666669</v>
      </c>
      <c r="E5" s="24">
        <v>42760</v>
      </c>
      <c r="F5" s="25">
        <v>0.44027777777777777</v>
      </c>
      <c r="G5" s="50">
        <f>((E5+F5)-(C5+D5))*24</f>
        <v>288.56666666676756</v>
      </c>
      <c r="H5" s="51">
        <v>27.7</v>
      </c>
      <c r="I5" s="77">
        <v>19.969440568383</v>
      </c>
      <c r="J5" s="77">
        <v>5.8420779747261502</v>
      </c>
      <c r="K5" s="26">
        <v>19.243936346237199</v>
      </c>
      <c r="L5" s="26">
        <v>5.5873386627758999</v>
      </c>
      <c r="M5" s="42">
        <f t="shared" ref="M5:M36" si="0">I5*12.157*46/(273.15+H5)</f>
        <v>37.119330209513976</v>
      </c>
      <c r="N5" s="43">
        <f t="shared" ref="N5:N36" si="1">J5*12.157*46/(273.15+H5)</f>
        <v>10.859293764940359</v>
      </c>
      <c r="O5" s="42">
        <f t="shared" ref="O5:O13" si="2">K5*12.157*46/(273.15+H5)</f>
        <v>35.770758090129497</v>
      </c>
      <c r="P5" s="43">
        <f t="shared" ref="P5:P13" si="3">L5*12.157*46/(273.15+H5)</f>
        <v>10.385782621488664</v>
      </c>
      <c r="Q5" s="64"/>
      <c r="R5" s="13">
        <f>ABS(K5-MEDIAN(K5:K7))</f>
        <v>0.12296865684650271</v>
      </c>
      <c r="S5" s="13">
        <f>ABS(K6-MEDIAN(K5:K7))</f>
        <v>1.2469469945791971</v>
      </c>
      <c r="T5" s="13">
        <f>ABS(K7-MEDIAN(K5:K7))</f>
        <v>0</v>
      </c>
      <c r="V5" s="13">
        <f>ABS(L5-MEDIAN(L5:L7))</f>
        <v>9.6479340738639507E-2</v>
      </c>
      <c r="W5" s="13">
        <f>ABS(L6-MEDIAN(L5:L7))</f>
        <v>0</v>
      </c>
      <c r="X5" s="13">
        <f>ABS(L7-MEDIAN(L5:L7))</f>
        <v>0.67789431518986021</v>
      </c>
      <c r="Z5" s="28">
        <v>1</v>
      </c>
      <c r="AB5" s="13">
        <f>AVERAGE(M5:M7)</f>
        <v>38.044324668148505</v>
      </c>
      <c r="AC5" s="13">
        <f>STDEV(M5:M7)/(SQRT(COUNT(M5:M7)))</f>
        <v>0.81338777798483075</v>
      </c>
      <c r="AE5" s="13">
        <f>AVERAGE(N5:N7)</f>
        <v>10.319711299146563</v>
      </c>
      <c r="AF5" s="13">
        <f>STDEV(N5:N7)/(SQRT(COUNT(N5:N7)))</f>
        <v>0.45288293828615661</v>
      </c>
      <c r="AH5" s="12">
        <f t="shared" ref="AH5:AH21" si="4">AE5/AB5</f>
        <v>0.27125494772644604</v>
      </c>
      <c r="AM5" s="28">
        <v>1</v>
      </c>
      <c r="AO5" s="13">
        <f t="shared" ref="AO5:AO21" si="5">AB5*$AJ$6</f>
        <v>46.617234000917172</v>
      </c>
      <c r="AP5" s="13"/>
      <c r="AR5" s="13">
        <f t="shared" ref="AR5:AR21" si="6">AE5*$AK$6</f>
        <v>17.306240649247965</v>
      </c>
      <c r="AS5" s="13"/>
      <c r="AU5" s="12">
        <f>AR5/AO5</f>
        <v>0.37124125916409956</v>
      </c>
      <c r="AV5" s="125"/>
    </row>
    <row r="6" spans="1:48" ht="15.75" thickBot="1" x14ac:dyDescent="0.25">
      <c r="A6" s="22">
        <v>1</v>
      </c>
      <c r="B6" s="23" t="s">
        <v>9</v>
      </c>
      <c r="C6" s="24">
        <v>42748</v>
      </c>
      <c r="D6" s="25">
        <v>0.41666666666666669</v>
      </c>
      <c r="E6" s="24">
        <v>42760</v>
      </c>
      <c r="F6" s="25">
        <v>0.44027777777777777</v>
      </c>
      <c r="G6" s="50">
        <f t="shared" ref="G6:G58" si="7">((E6+F6)-(C6+D6))*24</f>
        <v>288.56666666676756</v>
      </c>
      <c r="H6" s="51">
        <v>27.7</v>
      </c>
      <c r="I6" s="77">
        <v>21.3393562198087</v>
      </c>
      <c r="J6" s="77">
        <v>5.7455986339875098</v>
      </c>
      <c r="K6" s="26">
        <v>20.613851997662898</v>
      </c>
      <c r="L6" s="26">
        <v>5.4908593220372603</v>
      </c>
      <c r="M6" s="42">
        <f t="shared" si="0"/>
        <v>39.665738620421678</v>
      </c>
      <c r="N6" s="43">
        <f t="shared" si="1"/>
        <v>10.679957318583226</v>
      </c>
      <c r="O6" s="42">
        <f t="shared" si="2"/>
        <v>38.3171665010372</v>
      </c>
      <c r="P6" s="43">
        <f t="shared" si="3"/>
        <v>10.206446175131532</v>
      </c>
      <c r="Q6" s="64"/>
      <c r="Z6" s="52">
        <v>2</v>
      </c>
      <c r="AB6" s="13">
        <f>AVERAGE(M8:M10)</f>
        <v>20.163319316425376</v>
      </c>
      <c r="AC6" s="13">
        <f>STDEV(M8:M10)/(SQRT(COUNT(M8:M10)))</f>
        <v>0.33108504127577915</v>
      </c>
      <c r="AE6" s="13">
        <f>AVERAGE(N8:N10)</f>
        <v>5.6137203391817785</v>
      </c>
      <c r="AF6" s="13">
        <f>STDEV(N8:N10)/(SQRT(COUNT(N8:N10)))</f>
        <v>0.20879006887199583</v>
      </c>
      <c r="AH6" s="12">
        <f t="shared" si="4"/>
        <v>0.27841250991887773</v>
      </c>
      <c r="AJ6" s="209">
        <v>1.2253400318588408</v>
      </c>
      <c r="AK6" s="210">
        <v>1.6770082173402647</v>
      </c>
      <c r="AM6" s="52">
        <v>2</v>
      </c>
      <c r="AO6" s="13">
        <f t="shared" si="5"/>
        <v>24.706922333568649</v>
      </c>
      <c r="AP6" s="13"/>
      <c r="AR6" s="13">
        <f t="shared" si="6"/>
        <v>9.4142551386580209</v>
      </c>
      <c r="AS6" s="13"/>
      <c r="AU6" s="12">
        <f>AR6/AO6</f>
        <v>0.38103714463323174</v>
      </c>
      <c r="AV6" s="125"/>
    </row>
    <row r="7" spans="1:48" x14ac:dyDescent="0.2">
      <c r="A7" s="22">
        <v>1</v>
      </c>
      <c r="B7" s="23" t="s">
        <v>10</v>
      </c>
      <c r="C7" s="24">
        <v>42748</v>
      </c>
      <c r="D7" s="25">
        <v>0.41666666666666669</v>
      </c>
      <c r="E7" s="24">
        <v>42760</v>
      </c>
      <c r="F7" s="25">
        <v>0.44027777777777777</v>
      </c>
      <c r="G7" s="50">
        <f t="shared" si="7"/>
        <v>288.56666666676756</v>
      </c>
      <c r="H7" s="51">
        <v>27.7</v>
      </c>
      <c r="I7" s="77">
        <v>20.092409225229499</v>
      </c>
      <c r="J7" s="77">
        <v>5.0677043187976496</v>
      </c>
      <c r="K7" s="26">
        <v>19.366905003083701</v>
      </c>
      <c r="L7" s="26">
        <v>4.8129650068474001</v>
      </c>
      <c r="M7" s="42">
        <f t="shared" si="0"/>
        <v>37.347905174509862</v>
      </c>
      <c r="N7" s="43">
        <f t="shared" si="1"/>
        <v>9.4198828139161037</v>
      </c>
      <c r="O7" s="42">
        <f t="shared" si="2"/>
        <v>35.999333055125398</v>
      </c>
      <c r="P7" s="43">
        <f t="shared" si="3"/>
        <v>8.9463716704644085</v>
      </c>
      <c r="Q7" s="64"/>
      <c r="Z7" s="10">
        <v>3</v>
      </c>
      <c r="AB7" s="13">
        <f>AVERAGE(M11:M13)</f>
        <v>29.821428082401837</v>
      </c>
      <c r="AC7" s="13">
        <f>STDEV(M11:M13)/(SQRT(COUNT(M11:M13)))</f>
        <v>0.40828978480076655</v>
      </c>
      <c r="AE7" s="13">
        <f>AVERAGE(N11:N13)</f>
        <v>10.017053627516953</v>
      </c>
      <c r="AF7" s="13">
        <f>STDEV(N11:N13)/(SQRT(COUNT(N11:N13)))</f>
        <v>0.69109334898271579</v>
      </c>
      <c r="AH7" s="12">
        <f t="shared" si="4"/>
        <v>0.33590120499387477</v>
      </c>
      <c r="AM7" s="10">
        <v>3</v>
      </c>
      <c r="AO7" s="13">
        <f t="shared" si="5"/>
        <v>36.541389636566393</v>
      </c>
      <c r="AP7" s="13"/>
      <c r="AR7" s="13">
        <f t="shared" si="6"/>
        <v>16.798681246884037</v>
      </c>
      <c r="AS7" s="13"/>
      <c r="AU7" s="12">
        <f t="shared" ref="AU7:AU21" si="8">AR7/AO7</f>
        <v>0.45971654099530634</v>
      </c>
      <c r="AV7" s="125"/>
    </row>
    <row r="8" spans="1:48" x14ac:dyDescent="0.2">
      <c r="A8" s="17">
        <v>1</v>
      </c>
      <c r="B8" s="18" t="s">
        <v>11</v>
      </c>
      <c r="C8" s="19">
        <v>42748</v>
      </c>
      <c r="D8" s="20">
        <v>0.56805555555555554</v>
      </c>
      <c r="E8" s="19">
        <v>42760</v>
      </c>
      <c r="F8" s="66">
        <v>0.46527777777777773</v>
      </c>
      <c r="G8" s="67">
        <f t="shared" si="7"/>
        <v>285.53333333332557</v>
      </c>
      <c r="H8" s="68">
        <v>27.7</v>
      </c>
      <c r="I8" s="78">
        <v>10.5660742223152</v>
      </c>
      <c r="J8" s="78">
        <v>2.8866398348780602</v>
      </c>
      <c r="K8" s="69">
        <v>9.8328626823760796</v>
      </c>
      <c r="L8" s="21">
        <v>2.6291943266415299</v>
      </c>
      <c r="M8" s="44">
        <f t="shared" si="0"/>
        <v>19.640289708331562</v>
      </c>
      <c r="N8" s="45">
        <f t="shared" si="1"/>
        <v>5.3657055068644794</v>
      </c>
      <c r="O8" s="44">
        <f t="shared" si="2"/>
        <v>18.277391174883551</v>
      </c>
      <c r="P8" s="45">
        <f t="shared" si="3"/>
        <v>4.8871640675856067</v>
      </c>
      <c r="Q8" s="64"/>
      <c r="R8" s="13">
        <f>ABS(K8-MEDIAN(K8:K10))</f>
        <v>0.23286982064822048</v>
      </c>
      <c r="S8" s="13">
        <f>ABS(K9-MEDIAN(K8:K10))</f>
        <v>0</v>
      </c>
      <c r="T8" s="13">
        <f>ABS(K10-MEDIAN(K8:K10))</f>
        <v>0.37839805855280062</v>
      </c>
      <c r="V8" s="13">
        <f>ABS(L8-MEDIAN(L8:L10))</f>
        <v>4.362033528260012E-2</v>
      </c>
      <c r="W8" s="13">
        <f>ABS(L9-MEDIAN(L8:L10))</f>
        <v>0</v>
      </c>
      <c r="X8" s="13">
        <f>ABS(L10-MEDIAN(L8:L10))</f>
        <v>0.31304005320455985</v>
      </c>
      <c r="Z8" s="10">
        <v>4</v>
      </c>
      <c r="AB8" s="13">
        <f>AVERAGE(M14:M16)</f>
        <v>28.22725966352429</v>
      </c>
      <c r="AC8" s="13">
        <f>STDEV(M14:M16)/(SQRT(COUNT(M14:M16)))</f>
        <v>0.72439256970140486</v>
      </c>
      <c r="AE8" s="13">
        <f>AVERAGE(N14:N16)</f>
        <v>9.9411058197635054</v>
      </c>
      <c r="AF8" s="13">
        <f>STDEV(N14:N16)/(SQRT(COUNT(N14:N16)))</f>
        <v>0.57561342575700236</v>
      </c>
      <c r="AH8" s="12">
        <f t="shared" si="4"/>
        <v>0.35218104549516577</v>
      </c>
      <c r="AM8" s="10">
        <v>4</v>
      </c>
      <c r="AO8" s="13">
        <f t="shared" si="5"/>
        <v>34.587991255390627</v>
      </c>
      <c r="AP8" s="13"/>
      <c r="AR8" s="13">
        <f t="shared" si="6"/>
        <v>16.671316149192528</v>
      </c>
      <c r="AS8" s="13"/>
      <c r="AU8" s="12">
        <f t="shared" si="8"/>
        <v>0.48199723499682162</v>
      </c>
      <c r="AV8" s="125"/>
    </row>
    <row r="9" spans="1:48" x14ac:dyDescent="0.2">
      <c r="A9" s="17">
        <v>1</v>
      </c>
      <c r="B9" s="18" t="s">
        <v>12</v>
      </c>
      <c r="C9" s="19">
        <v>42748</v>
      </c>
      <c r="D9" s="20">
        <v>0.56805555555555554</v>
      </c>
      <c r="E9" s="19">
        <v>42760</v>
      </c>
      <c r="F9" s="66">
        <v>0.46527777777777773</v>
      </c>
      <c r="G9" s="67">
        <f t="shared" si="7"/>
        <v>285.53333333332557</v>
      </c>
      <c r="H9" s="68">
        <v>27.7</v>
      </c>
      <c r="I9" s="78">
        <v>10.7989440429634</v>
      </c>
      <c r="J9" s="78">
        <v>2.9302601701606701</v>
      </c>
      <c r="K9" s="69">
        <v>10.0657325030243</v>
      </c>
      <c r="L9" s="21">
        <v>2.67281466192413</v>
      </c>
      <c r="M9" s="44">
        <f t="shared" si="0"/>
        <v>20.07314969451248</v>
      </c>
      <c r="N9" s="45">
        <f t="shared" si="1"/>
        <v>5.446787278968225</v>
      </c>
      <c r="O9" s="44">
        <f t="shared" si="2"/>
        <v>18.710251161064502</v>
      </c>
      <c r="P9" s="45">
        <f t="shared" si="3"/>
        <v>4.9682458396893328</v>
      </c>
      <c r="Q9" s="64"/>
      <c r="Z9" s="10">
        <v>5</v>
      </c>
      <c r="AB9" s="35">
        <f>AVERAGE(M17:M18)</f>
        <v>52.917068808486405</v>
      </c>
      <c r="AC9" s="35">
        <f>STDEV(M17:M18)/(SQRT(COUNT(M17:M18)))</f>
        <v>4.9832075903467894</v>
      </c>
      <c r="AE9" s="35">
        <f>AVERAGE(N17:N18)</f>
        <v>17.055862564088478</v>
      </c>
      <c r="AF9" s="35">
        <f>STDEV(N17:N18)/(SQRT(COUNT(N17:N18)))</f>
        <v>0.41795482124376271</v>
      </c>
      <c r="AG9" s="36"/>
      <c r="AH9" s="37">
        <f t="shared" si="4"/>
        <v>0.3223130635942027</v>
      </c>
      <c r="AM9" s="10">
        <v>5</v>
      </c>
      <c r="AO9" s="13">
        <f t="shared" si="5"/>
        <v>64.841402779667206</v>
      </c>
      <c r="AP9" s="35"/>
      <c r="AR9" s="13">
        <f t="shared" si="6"/>
        <v>28.602821673802577</v>
      </c>
      <c r="AS9" s="35"/>
      <c r="AU9" s="12">
        <f t="shared" si="8"/>
        <v>0.44111972362775242</v>
      </c>
      <c r="AV9" s="128"/>
    </row>
    <row r="10" spans="1:48" x14ac:dyDescent="0.2">
      <c r="A10" s="17">
        <v>1</v>
      </c>
      <c r="B10" s="18" t="s">
        <v>13</v>
      </c>
      <c r="C10" s="19">
        <v>42748</v>
      </c>
      <c r="D10" s="20">
        <v>0.56805555555555554</v>
      </c>
      <c r="E10" s="19">
        <v>42760</v>
      </c>
      <c r="F10" s="66">
        <v>0.46527777777777773</v>
      </c>
      <c r="G10" s="67">
        <f t="shared" si="7"/>
        <v>285.53333333332557</v>
      </c>
      <c r="H10" s="68">
        <v>27.7</v>
      </c>
      <c r="I10" s="78">
        <v>11.177342101516199</v>
      </c>
      <c r="J10" s="78">
        <v>3.2433002233652202</v>
      </c>
      <c r="K10" s="69">
        <v>10.444130561577101</v>
      </c>
      <c r="L10" s="21">
        <v>2.9858547151286898</v>
      </c>
      <c r="M10" s="44">
        <f t="shared" si="0"/>
        <v>20.776518546432087</v>
      </c>
      <c r="N10" s="45">
        <f t="shared" si="1"/>
        <v>6.0286682317126319</v>
      </c>
      <c r="O10" s="44">
        <f t="shared" si="2"/>
        <v>19.413620012984111</v>
      </c>
      <c r="P10" s="45">
        <f t="shared" si="3"/>
        <v>5.5501267924337592</v>
      </c>
      <c r="Q10" s="64"/>
      <c r="Z10" s="10">
        <v>6</v>
      </c>
      <c r="AB10" s="13">
        <f>AVERAGE(M20:M22)</f>
        <v>39.934727551438527</v>
      </c>
      <c r="AC10" s="13">
        <f>STDEV(M20:M22)/(SQRT(COUNT(M20:M22)))</f>
        <v>2.0039938105524189</v>
      </c>
      <c r="AE10" s="13">
        <f>AVERAGE(N20:N22)</f>
        <v>13.443739030418593</v>
      </c>
      <c r="AF10" s="13">
        <f>STDEV(N20:N22)/(SQRT(COUNT(N20:N22)))</f>
        <v>1.2540101395849035</v>
      </c>
      <c r="AH10" s="12">
        <f t="shared" si="4"/>
        <v>0.33664281327829726</v>
      </c>
      <c r="AM10" s="10">
        <v>6</v>
      </c>
      <c r="AO10" s="13">
        <f t="shared" si="5"/>
        <v>48.933620330153815</v>
      </c>
      <c r="AP10" s="13"/>
      <c r="AR10" s="13">
        <f t="shared" si="6"/>
        <v>22.545260825790024</v>
      </c>
      <c r="AS10" s="13"/>
      <c r="AU10" s="12">
        <f t="shared" si="8"/>
        <v>0.46073151084423669</v>
      </c>
      <c r="AV10" s="125"/>
    </row>
    <row r="11" spans="1:48" x14ac:dyDescent="0.2">
      <c r="A11" s="22">
        <v>1</v>
      </c>
      <c r="B11" s="23" t="s">
        <v>14</v>
      </c>
      <c r="C11" s="24">
        <v>42748</v>
      </c>
      <c r="D11" s="25">
        <v>0.45347222222222222</v>
      </c>
      <c r="E11" s="24">
        <v>42760</v>
      </c>
      <c r="F11" s="25">
        <v>0.4513888888888889</v>
      </c>
      <c r="G11" s="50">
        <f t="shared" si="7"/>
        <v>287.95000000001164</v>
      </c>
      <c r="H11" s="51">
        <v>27.7</v>
      </c>
      <c r="I11" s="77">
        <v>15.9479629523934</v>
      </c>
      <c r="J11" s="77">
        <v>4.9131733137994598</v>
      </c>
      <c r="K11" s="26">
        <v>15.2209050081764</v>
      </c>
      <c r="L11" s="26">
        <v>4.6578884583785003</v>
      </c>
      <c r="M11" s="42">
        <f t="shared" si="0"/>
        <v>29.644180615467324</v>
      </c>
      <c r="N11" s="43">
        <f t="shared" si="1"/>
        <v>9.1326395442564792</v>
      </c>
      <c r="O11" s="42">
        <f t="shared" si="2"/>
        <v>28.292720427064729</v>
      </c>
      <c r="P11" s="43">
        <f t="shared" si="3"/>
        <v>8.6581143409384822</v>
      </c>
      <c r="Q11" s="64"/>
      <c r="R11" s="13">
        <f>ABS(K11-MEDIAN(K11:K13))</f>
        <v>0</v>
      </c>
      <c r="S11" s="13">
        <f>ABS(K12-MEDIAN(K11:K13))</f>
        <v>0.22834377842639952</v>
      </c>
      <c r="T11" s="13">
        <f>ABS(K13-MEDIAN(K11:K13))</f>
        <v>0.51441031601219933</v>
      </c>
      <c r="V11" s="13">
        <f>ABS(L11-MEDIAN(L11:L13))</f>
        <v>0.21881559036082976</v>
      </c>
      <c r="W11" s="13">
        <f>ABS(L12-MEDIAN(L11:L13))</f>
        <v>0</v>
      </c>
      <c r="X11" s="13">
        <f>ABS(L13-MEDIAN(L11:L13))</f>
        <v>0.98975889128325978</v>
      </c>
      <c r="Z11" s="10">
        <v>7</v>
      </c>
      <c r="AB11" s="13">
        <f>AVERAGE(M23:M25)</f>
        <v>33.233542845019564</v>
      </c>
      <c r="AC11" s="13">
        <f>STDEV(M23:M25)/(SQRT(COUNT(M23:M25)))</f>
        <v>0.14420167616225263</v>
      </c>
      <c r="AE11" s="13">
        <f>AVERAGE(N23:N25)</f>
        <v>10.543552219263935</v>
      </c>
      <c r="AF11" s="13">
        <f>STDEV(N23:N25)/(SQRT(COUNT(N23:N25)))</f>
        <v>0.50821523942013436</v>
      </c>
      <c r="AH11" s="12">
        <f t="shared" si="4"/>
        <v>0.31725634153519117</v>
      </c>
      <c r="AM11" s="10">
        <v>7</v>
      </c>
      <c r="AO11" s="13">
        <f t="shared" si="5"/>
        <v>40.722390448498423</v>
      </c>
      <c r="AP11" s="13"/>
      <c r="AR11" s="13">
        <f t="shared" si="6"/>
        <v>17.681623711661803</v>
      </c>
      <c r="AS11" s="13"/>
      <c r="AU11" s="12">
        <f t="shared" si="8"/>
        <v>0.43419906142356107</v>
      </c>
      <c r="AV11" s="125"/>
    </row>
    <row r="12" spans="1:48" x14ac:dyDescent="0.2">
      <c r="A12" s="22">
        <v>1</v>
      </c>
      <c r="B12" s="23" t="s">
        <v>15</v>
      </c>
      <c r="C12" s="24">
        <v>42748</v>
      </c>
      <c r="D12" s="25">
        <v>0.45347222222222222</v>
      </c>
      <c r="E12" s="24">
        <v>42760</v>
      </c>
      <c r="F12" s="25">
        <v>0.4513888888888889</v>
      </c>
      <c r="G12" s="50">
        <f t="shared" si="7"/>
        <v>287.95000000001164</v>
      </c>
      <c r="H12" s="51">
        <v>27.7</v>
      </c>
      <c r="I12" s="77">
        <v>15.719619173966899</v>
      </c>
      <c r="J12" s="77">
        <v>5.1319889041602904</v>
      </c>
      <c r="K12" s="26">
        <v>14.992561229750001</v>
      </c>
      <c r="L12" s="26">
        <v>4.8767040487393301</v>
      </c>
      <c r="M12" s="42">
        <f t="shared" si="0"/>
        <v>29.219733666957346</v>
      </c>
      <c r="N12" s="43">
        <f t="shared" si="1"/>
        <v>9.5393754328147793</v>
      </c>
      <c r="O12" s="42">
        <f t="shared" si="2"/>
        <v>27.868273478554944</v>
      </c>
      <c r="P12" s="43">
        <f t="shared" si="3"/>
        <v>9.0648502294967788</v>
      </c>
      <c r="Q12" s="64"/>
      <c r="Z12" s="10">
        <v>8</v>
      </c>
      <c r="AB12" s="13">
        <f>AVERAGE(M26:M28)</f>
        <v>29.799915236863423</v>
      </c>
      <c r="AC12" s="13">
        <f>STDEV(M26:M28)/(SQRT(COUNT(M26:M28)))</f>
        <v>1.7519884881101069</v>
      </c>
      <c r="AE12" s="13">
        <f>AVERAGE(N26:N28)</f>
        <v>11.53146805373818</v>
      </c>
      <c r="AF12" s="13">
        <f>STDEV(N26:N28)/(SQRT(COUNT(N26:N28)))</f>
        <v>0.39855765496635165</v>
      </c>
      <c r="AH12" s="12">
        <f t="shared" si="4"/>
        <v>0.38696311590421556</v>
      </c>
      <c r="AM12" s="10">
        <v>8</v>
      </c>
      <c r="AO12" s="13">
        <f t="shared" si="5"/>
        <v>36.515029085728983</v>
      </c>
      <c r="AP12" s="13"/>
      <c r="AR12" s="13">
        <f t="shared" si="6"/>
        <v>19.338366684115677</v>
      </c>
      <c r="AS12" s="13"/>
      <c r="AU12" s="12">
        <f t="shared" si="8"/>
        <v>0.52960019937855152</v>
      </c>
      <c r="AV12" s="125"/>
    </row>
    <row r="13" spans="1:48" x14ac:dyDescent="0.2">
      <c r="A13" s="22">
        <v>1</v>
      </c>
      <c r="B13" s="23" t="s">
        <v>16</v>
      </c>
      <c r="C13" s="24">
        <v>42748</v>
      </c>
      <c r="D13" s="25">
        <v>0.45347222222222222</v>
      </c>
      <c r="E13" s="24">
        <v>42760</v>
      </c>
      <c r="F13" s="25">
        <v>0.4513888888888889</v>
      </c>
      <c r="G13" s="50">
        <f t="shared" si="7"/>
        <v>287.95000000001164</v>
      </c>
      <c r="H13" s="51">
        <v>27.7</v>
      </c>
      <c r="I13" s="77">
        <v>16.462373268405599</v>
      </c>
      <c r="J13" s="77">
        <v>6.12174779544356</v>
      </c>
      <c r="K13" s="26">
        <v>15.735315324188599</v>
      </c>
      <c r="L13" s="26">
        <v>5.8664629400225898</v>
      </c>
      <c r="M13" s="42">
        <f t="shared" si="0"/>
        <v>30.600369964780842</v>
      </c>
      <c r="N13" s="43">
        <f t="shared" si="1"/>
        <v>11.379145905479604</v>
      </c>
      <c r="O13" s="42">
        <f t="shared" si="2"/>
        <v>29.248909776378255</v>
      </c>
      <c r="P13" s="43">
        <f t="shared" si="3"/>
        <v>10.904620702161585</v>
      </c>
      <c r="Q13" s="64"/>
      <c r="Z13" s="10">
        <v>9</v>
      </c>
      <c r="AB13" s="13">
        <f>AVERAGE(M29:M31)</f>
        <v>68.342139403671354</v>
      </c>
      <c r="AC13" s="13">
        <f>STDEV(M29:M31)/(SQRT(COUNT(M29:M31)))</f>
        <v>0.93207249329686026</v>
      </c>
      <c r="AE13" s="13">
        <f>AVERAGE(N29:N31)</f>
        <v>22.189231574470966</v>
      </c>
      <c r="AF13" s="13">
        <f>STDEV(N29:N31)/(SQRT(COUNT(N29:N31)))</f>
        <v>0.66180202053266179</v>
      </c>
      <c r="AH13" s="12">
        <f t="shared" si="4"/>
        <v>0.32467862095167238</v>
      </c>
      <c r="AM13" s="10">
        <v>9</v>
      </c>
      <c r="AO13" s="13">
        <f t="shared" si="5"/>
        <v>83.742359274195991</v>
      </c>
      <c r="AP13" s="13"/>
      <c r="AR13" s="13">
        <f t="shared" si="6"/>
        <v>37.211523686853873</v>
      </c>
      <c r="AS13" s="13"/>
      <c r="AU13" s="12">
        <f t="shared" si="8"/>
        <v>0.4443572405813514</v>
      </c>
      <c r="AV13" s="125"/>
    </row>
    <row r="14" spans="1:48" x14ac:dyDescent="0.2">
      <c r="A14" s="17">
        <v>1</v>
      </c>
      <c r="B14" s="18" t="s">
        <v>17</v>
      </c>
      <c r="C14" s="19">
        <v>42748</v>
      </c>
      <c r="D14" s="20">
        <v>0.45902777777777781</v>
      </c>
      <c r="E14" s="19">
        <v>42760</v>
      </c>
      <c r="F14" s="66">
        <v>0.45347222222222222</v>
      </c>
      <c r="G14" s="67">
        <f t="shared" si="7"/>
        <v>287.86666666675592</v>
      </c>
      <c r="H14" s="68">
        <v>27.7</v>
      </c>
      <c r="I14" s="78">
        <v>15.4607723205343</v>
      </c>
      <c r="J14" s="78">
        <v>5.6628561511877598</v>
      </c>
      <c r="K14" s="69">
        <v>14.7335039033138</v>
      </c>
      <c r="L14" s="21">
        <v>5.4074973944076099</v>
      </c>
      <c r="M14" s="44">
        <f t="shared" si="0"/>
        <v>28.738587397818957</v>
      </c>
      <c r="N14" s="45">
        <f t="shared" si="1"/>
        <v>10.526155035996418</v>
      </c>
      <c r="O14" s="44">
        <f t="shared" ref="O14:O16" si="9">K14*12.157*46/(273.15+H14)</f>
        <v>27.386735980784277</v>
      </c>
      <c r="P14" s="45">
        <f t="shared" ref="P14:P16" si="10">L14*12.157*46/(273.15+H14)</f>
        <v>10.051492464335757</v>
      </c>
      <c r="Q14" s="64"/>
      <c r="R14" s="13">
        <f>ABS(K14-MEDIAN(K14:K16))</f>
        <v>0</v>
      </c>
      <c r="S14" s="13">
        <f>ABS(K15-MEDIAN(K14:K16))</f>
        <v>0.21893143386200009</v>
      </c>
      <c r="T14" s="13">
        <f>ABS(K16-MEDIAN(K14:K16))</f>
        <v>1.0441830273036992</v>
      </c>
      <c r="V14" s="13">
        <f>ABS(L14-MEDIAN(L14:L16))</f>
        <v>1.0180415552699884E-2</v>
      </c>
      <c r="W14" s="13">
        <f>ABS(L15-MEDIAN(L14:L16))</f>
        <v>0</v>
      </c>
      <c r="X14" s="13">
        <f>ABS(L16-MEDIAN(L14:L16))</f>
        <v>0.92387271140726046</v>
      </c>
      <c r="Z14" s="10">
        <v>10</v>
      </c>
      <c r="AB14" s="35">
        <f>AVERAGE(M33:M34)</f>
        <v>79.793374853549466</v>
      </c>
      <c r="AC14" s="35">
        <f>STDEV(M33:M34)/(SQRT(COUNT(M33:M34)))</f>
        <v>2.4694176266788683</v>
      </c>
      <c r="AE14" s="35">
        <f>AVERAGE(N33:N34)</f>
        <v>21.264161149180261</v>
      </c>
      <c r="AF14" s="35">
        <f>STDEV(N33:N34)/(SQRT(COUNT(N33:N34)))</f>
        <v>2.7774950143677555</v>
      </c>
      <c r="AG14" s="36"/>
      <c r="AH14" s="37">
        <f t="shared" si="4"/>
        <v>0.26649030935472912</v>
      </c>
      <c r="AM14" s="10">
        <v>10</v>
      </c>
      <c r="AO14" s="13">
        <f t="shared" si="5"/>
        <v>97.774016485172723</v>
      </c>
      <c r="AP14" s="35"/>
      <c r="AR14" s="13">
        <f t="shared" si="6"/>
        <v>35.660172982022907</v>
      </c>
      <c r="AS14" s="35"/>
      <c r="AU14" s="12">
        <f t="shared" si="8"/>
        <v>0.36472034456547786</v>
      </c>
      <c r="AV14" s="128"/>
    </row>
    <row r="15" spans="1:48" x14ac:dyDescent="0.2">
      <c r="A15" s="17">
        <v>1</v>
      </c>
      <c r="B15" s="18" t="s">
        <v>18</v>
      </c>
      <c r="C15" s="19">
        <v>42748</v>
      </c>
      <c r="D15" s="20">
        <v>0.45902777777777781</v>
      </c>
      <c r="E15" s="19">
        <v>42760</v>
      </c>
      <c r="F15" s="66">
        <v>0.45347222222222222</v>
      </c>
      <c r="G15" s="67">
        <f t="shared" si="7"/>
        <v>287.86666666675592</v>
      </c>
      <c r="H15" s="68">
        <v>27.7</v>
      </c>
      <c r="I15" s="78">
        <v>15.6797037543963</v>
      </c>
      <c r="J15" s="78">
        <v>5.6526757356350599</v>
      </c>
      <c r="K15" s="69">
        <v>14.9524353371758</v>
      </c>
      <c r="L15" s="21">
        <v>5.39731697885491</v>
      </c>
      <c r="M15" s="44">
        <f t="shared" si="0"/>
        <v>29.145538617055042</v>
      </c>
      <c r="N15" s="45">
        <f t="shared" si="1"/>
        <v>10.507231611212596</v>
      </c>
      <c r="O15" s="44">
        <f t="shared" si="9"/>
        <v>27.793687200020365</v>
      </c>
      <c r="P15" s="45">
        <f t="shared" si="10"/>
        <v>10.032569039551939</v>
      </c>
      <c r="Q15" s="64"/>
      <c r="Z15" s="10">
        <v>11</v>
      </c>
      <c r="AB15" s="13">
        <f>AVERAGE(M35:M37)</f>
        <v>31.022393750858942</v>
      </c>
      <c r="AC15" s="13">
        <f>STDEV(M35:M37)/(SQRT(COUNT(M35:M37)))</f>
        <v>0.81963515050044022</v>
      </c>
      <c r="AE15" s="13">
        <f>AVERAGE(N35:N37)</f>
        <v>10.029825298330865</v>
      </c>
      <c r="AF15" s="13">
        <f>STDEV(N35:N37)/(SQRT(COUNT(N35:N37)))</f>
        <v>0.59445988629365698</v>
      </c>
      <c r="AH15" s="12">
        <f t="shared" si="4"/>
        <v>0.32330919976325684</v>
      </c>
      <c r="AM15" s="10">
        <v>11</v>
      </c>
      <c r="AO15" s="13">
        <f t="shared" si="5"/>
        <v>38.012980947015002</v>
      </c>
      <c r="AP15" s="13"/>
      <c r="AR15" s="13">
        <f t="shared" si="6"/>
        <v>16.820099443788131</v>
      </c>
      <c r="AS15" s="13"/>
      <c r="AU15" s="12">
        <f t="shared" si="8"/>
        <v>0.44248304197013894</v>
      </c>
      <c r="AV15" s="125"/>
    </row>
    <row r="16" spans="1:48" x14ac:dyDescent="0.2">
      <c r="A16" s="17">
        <v>1</v>
      </c>
      <c r="B16" s="18" t="s">
        <v>19</v>
      </c>
      <c r="C16" s="19">
        <v>42748</v>
      </c>
      <c r="D16" s="20">
        <v>0.45902777777777781</v>
      </c>
      <c r="E16" s="19">
        <v>42760</v>
      </c>
      <c r="F16" s="66">
        <v>0.45347222222222222</v>
      </c>
      <c r="G16" s="67">
        <f t="shared" si="7"/>
        <v>287.86666666675592</v>
      </c>
      <c r="H16" s="68">
        <v>27.7</v>
      </c>
      <c r="I16" s="78">
        <v>14.416589293230601</v>
      </c>
      <c r="J16" s="78">
        <v>4.7288030242278003</v>
      </c>
      <c r="K16" s="69">
        <v>13.6893208760101</v>
      </c>
      <c r="L16" s="21">
        <v>4.4734442674476496</v>
      </c>
      <c r="M16" s="44">
        <f t="shared" si="0"/>
        <v>26.797652975698867</v>
      </c>
      <c r="N16" s="45">
        <f t="shared" si="1"/>
        <v>8.789930812081499</v>
      </c>
      <c r="O16" s="44">
        <f t="shared" si="9"/>
        <v>25.445801558664186</v>
      </c>
      <c r="P16" s="45">
        <f t="shared" si="10"/>
        <v>8.3152682404208402</v>
      </c>
      <c r="Q16" s="64"/>
      <c r="Z16" s="52">
        <v>12</v>
      </c>
      <c r="AB16" s="13">
        <f>AVERAGE(M38:M40)</f>
        <v>20.031096349510534</v>
      </c>
      <c r="AC16" s="13">
        <f>STDEV(M38:M40)/(SQRT(COUNT(M38:M40)))</f>
        <v>0.24707024948951711</v>
      </c>
      <c r="AE16" s="13">
        <f>AVERAGE(N38:N40)</f>
        <v>6.6243865799626711</v>
      </c>
      <c r="AF16" s="13">
        <f>STDEV(N38:N40)/(SQRT(COUNT(N38:N40)))</f>
        <v>0.22860820271044935</v>
      </c>
      <c r="AH16" s="12">
        <f t="shared" si="4"/>
        <v>0.33070514286276398</v>
      </c>
      <c r="AM16" s="52">
        <v>12</v>
      </c>
      <c r="AO16" s="13">
        <f t="shared" si="5"/>
        <v>24.544904239076747</v>
      </c>
      <c r="AP16" s="13"/>
      <c r="AR16" s="13">
        <f t="shared" si="6"/>
        <v>11.109150729435973</v>
      </c>
      <c r="AS16" s="13"/>
      <c r="AU16" s="12">
        <f t="shared" si="8"/>
        <v>0.45260517707580356</v>
      </c>
      <c r="AV16" s="125"/>
    </row>
    <row r="17" spans="1:48" x14ac:dyDescent="0.2">
      <c r="A17" s="22">
        <v>1</v>
      </c>
      <c r="B17" s="23" t="s">
        <v>20</v>
      </c>
      <c r="C17" s="24">
        <v>42748</v>
      </c>
      <c r="D17" s="25">
        <v>0.42777777777777781</v>
      </c>
      <c r="E17" s="24">
        <v>42760</v>
      </c>
      <c r="F17" s="25">
        <v>0.44305555555555554</v>
      </c>
      <c r="G17" s="50">
        <f t="shared" si="7"/>
        <v>288.36666666681413</v>
      </c>
      <c r="H17" s="51">
        <v>27.7</v>
      </c>
      <c r="I17" s="77">
        <v>31.149164651227899</v>
      </c>
      <c r="J17" s="77">
        <v>8.9508541231118102</v>
      </c>
      <c r="K17" s="26">
        <v>30.4231572473306</v>
      </c>
      <c r="L17" s="26">
        <v>8.6959381337980997</v>
      </c>
      <c r="M17" s="42">
        <f t="shared" si="0"/>
        <v>57.900276398833199</v>
      </c>
      <c r="N17" s="43">
        <f t="shared" si="1"/>
        <v>16.637907742844718</v>
      </c>
      <c r="O17" s="42">
        <f>K17*12.157*46/(273.15+H17)</f>
        <v>56.550768961830535</v>
      </c>
      <c r="P17" s="43">
        <f>L17*12.157*46/(273.15+H17)</f>
        <v>16.164068190323555</v>
      </c>
      <c r="Q17" s="64"/>
      <c r="R17" s="13">
        <f>ABS(K17-MEDIAN(K17:K19))</f>
        <v>0</v>
      </c>
      <c r="S17" s="13">
        <f>ABS(K18-MEDIAN(K17:K19))</f>
        <v>5.3617275556248991</v>
      </c>
      <c r="T17" s="13">
        <f>ABS(K19-MEDIAN(K17:K19))</f>
        <v>3.7636691047188009</v>
      </c>
      <c r="V17" s="13">
        <f>ABS(L17-MEDIAN(L17:L19))</f>
        <v>0</v>
      </c>
      <c r="W17" s="13">
        <f>ABS(L18-MEDIAN(L17:L19))</f>
        <v>0.44970229344047041</v>
      </c>
      <c r="X17" s="13">
        <f>ABS(L19-MEDIAN(L17:L19))</f>
        <v>6.2373962169286097</v>
      </c>
      <c r="Z17" s="52">
        <v>13</v>
      </c>
      <c r="AB17" s="13">
        <f>AVERAGE(M41:M43)</f>
        <v>20.799172709093707</v>
      </c>
      <c r="AC17" s="13">
        <f>STDEV(M41:M43)/(SQRT(COUNT(M41:M43)))</f>
        <v>0.26162613388939981</v>
      </c>
      <c r="AE17" s="13">
        <f>AVERAGE(N41:N43)</f>
        <v>5.7480823695857852</v>
      </c>
      <c r="AF17" s="13">
        <f>STDEV(N41:N43)/(SQRT(COUNT(N41:N43)))</f>
        <v>0.20741940220280725</v>
      </c>
      <c r="AH17" s="12">
        <f t="shared" si="4"/>
        <v>0.27636110579882045</v>
      </c>
      <c r="AM17" s="52">
        <v>13</v>
      </c>
      <c r="AO17" s="13">
        <f t="shared" si="5"/>
        <v>25.486058949998416</v>
      </c>
      <c r="AP17" s="13"/>
      <c r="AR17" s="13">
        <f t="shared" si="6"/>
        <v>9.6395813677440625</v>
      </c>
      <c r="AS17" s="13"/>
      <c r="AU17" s="12">
        <f t="shared" si="8"/>
        <v>0.37822957981287497</v>
      </c>
      <c r="AV17" s="125"/>
    </row>
    <row r="18" spans="1:48" x14ac:dyDescent="0.2">
      <c r="A18" s="22">
        <v>1</v>
      </c>
      <c r="B18" s="23" t="s">
        <v>21</v>
      </c>
      <c r="C18" s="24">
        <v>42748</v>
      </c>
      <c r="D18" s="25">
        <v>0.42777777777777781</v>
      </c>
      <c r="E18" s="24">
        <v>42760</v>
      </c>
      <c r="F18" s="25">
        <v>0.44305555555555554</v>
      </c>
      <c r="G18" s="50">
        <f t="shared" si="7"/>
        <v>288.36666666681413</v>
      </c>
      <c r="H18" s="51">
        <v>27.7</v>
      </c>
      <c r="I18" s="77">
        <v>25.787437095603</v>
      </c>
      <c r="J18" s="77">
        <v>9.4005564165522895</v>
      </c>
      <c r="K18" s="26">
        <v>25.061429691705701</v>
      </c>
      <c r="L18" s="26">
        <v>9.1456404272385701</v>
      </c>
      <c r="M18" s="42">
        <f t="shared" si="0"/>
        <v>47.933861218139619</v>
      </c>
      <c r="N18" s="43">
        <f t="shared" si="1"/>
        <v>17.473817385332243</v>
      </c>
      <c r="O18" s="42">
        <f>K18*12.157*46/(273.15+H18)</f>
        <v>46.584353781136933</v>
      </c>
      <c r="P18" s="43">
        <f>L18*12.157*46/(273.15+H18)</f>
        <v>16.999977832811062</v>
      </c>
      <c r="Q18" s="64"/>
      <c r="Z18" s="10">
        <v>14</v>
      </c>
      <c r="AB18" s="13">
        <f>AVERAGE(M44:M46)</f>
        <v>47.039899347693506</v>
      </c>
      <c r="AC18" s="13">
        <f>STDEV(M44:M46)/(SQRT(COUNT(M44:M46)))</f>
        <v>2.3845046684056013</v>
      </c>
      <c r="AE18" s="13">
        <f>AVERAGE(N44:N46)</f>
        <v>14.446964378787655</v>
      </c>
      <c r="AF18" s="13">
        <f>STDEV(N44:N46)/(SQRT(COUNT(N44:N46)))</f>
        <v>0.82964719365888207</v>
      </c>
      <c r="AH18" s="12">
        <f t="shared" si="4"/>
        <v>0.30712149853900633</v>
      </c>
      <c r="AM18" s="10">
        <v>14</v>
      </c>
      <c r="AO18" s="13">
        <f t="shared" si="5"/>
        <v>57.639871765339421</v>
      </c>
      <c r="AP18" s="13"/>
      <c r="AR18" s="13">
        <f t="shared" si="6"/>
        <v>24.227677978848991</v>
      </c>
      <c r="AS18" s="13"/>
      <c r="AU18" s="12">
        <f t="shared" si="8"/>
        <v>0.4203284503734413</v>
      </c>
      <c r="AV18" s="125"/>
    </row>
    <row r="19" spans="1:48" x14ac:dyDescent="0.2">
      <c r="A19" s="29">
        <v>1</v>
      </c>
      <c r="B19" s="30" t="s">
        <v>22</v>
      </c>
      <c r="C19" s="31">
        <v>42748</v>
      </c>
      <c r="D19" s="32">
        <v>0.42777777777777781</v>
      </c>
      <c r="E19" s="31">
        <v>42760</v>
      </c>
      <c r="F19" s="32">
        <v>0.44305555555555554</v>
      </c>
      <c r="G19" s="86">
        <f t="shared" si="7"/>
        <v>288.36666666681413</v>
      </c>
      <c r="H19" s="85">
        <v>27.7</v>
      </c>
      <c r="I19" s="84">
        <v>34.9128337559467</v>
      </c>
      <c r="J19" s="84">
        <v>2.7134579061832</v>
      </c>
      <c r="K19" s="33">
        <v>34.186826352049401</v>
      </c>
      <c r="L19" s="34">
        <v>2.45854191686949</v>
      </c>
      <c r="M19" s="83">
        <f t="shared" si="0"/>
        <v>64.896209801123575</v>
      </c>
      <c r="N19" s="46">
        <f t="shared" si="1"/>
        <v>5.0437937750094113</v>
      </c>
      <c r="O19" s="83">
        <f>K19*12.157*46/(273.15+H19)</f>
        <v>63.546702364120904</v>
      </c>
      <c r="P19" s="46">
        <f>L19*12.157*46/(273.15+H19)</f>
        <v>4.569954222488251</v>
      </c>
      <c r="Q19" s="64"/>
      <c r="Z19" s="10">
        <v>15</v>
      </c>
      <c r="AB19" s="13">
        <f>AVERAGE(M47:M49)</f>
        <v>53.944694134119537</v>
      </c>
      <c r="AC19" s="13">
        <f>STDEV(M47:M49)/(SQRT(COUNT(M47:M49)))</f>
        <v>1.2736036438827862</v>
      </c>
      <c r="AE19" s="13">
        <f>AVERAGE(N47:N49)</f>
        <v>15.501748647122271</v>
      </c>
      <c r="AF19" s="13">
        <f>STDEV(N47:N49)/(SQRT(COUNT(N47:N49)))</f>
        <v>0.35736551907237107</v>
      </c>
      <c r="AH19" s="12">
        <f t="shared" si="4"/>
        <v>0.28736373235486667</v>
      </c>
      <c r="AM19" s="10">
        <v>15</v>
      </c>
      <c r="AO19" s="13">
        <f t="shared" si="5"/>
        <v>66.100593228917461</v>
      </c>
      <c r="AP19" s="13"/>
      <c r="AR19" s="13">
        <f t="shared" si="6"/>
        <v>25.996559864367381</v>
      </c>
      <c r="AS19" s="13"/>
      <c r="AU19" s="12">
        <f t="shared" si="8"/>
        <v>0.39328784500219122</v>
      </c>
      <c r="AV19" s="125"/>
    </row>
    <row r="20" spans="1:48" x14ac:dyDescent="0.2">
      <c r="A20" s="17">
        <v>1</v>
      </c>
      <c r="B20" s="18" t="s">
        <v>23</v>
      </c>
      <c r="C20" s="19">
        <v>42748</v>
      </c>
      <c r="D20" s="20">
        <v>0.43472222222222223</v>
      </c>
      <c r="E20" s="19">
        <v>42760</v>
      </c>
      <c r="F20" s="66">
        <v>0.44444444444444442</v>
      </c>
      <c r="G20" s="67">
        <f t="shared" si="7"/>
        <v>288.23333333339542</v>
      </c>
      <c r="H20" s="68">
        <v>27.7</v>
      </c>
      <c r="I20" s="78">
        <v>23.428559076725499</v>
      </c>
      <c r="J20" s="78">
        <v>7.2722792467960096</v>
      </c>
      <c r="K20" s="21">
        <v>22.7022158303838</v>
      </c>
      <c r="L20" s="21">
        <v>7.0172453363584504</v>
      </c>
      <c r="M20" s="44">
        <f t="shared" si="0"/>
        <v>43.549162918413124</v>
      </c>
      <c r="N20" s="45">
        <f t="shared" si="1"/>
        <v>13.517761492277742</v>
      </c>
      <c r="O20" s="44">
        <f t="shared" ref="O20:O22" si="11">K20*12.157*46/(273.15+H20)</f>
        <v>42.19903121521984</v>
      </c>
      <c r="P20" s="45">
        <f t="shared" ref="P20:P22" si="12">L20*12.157*46/(273.15+H20)</f>
        <v>13.043702747179811</v>
      </c>
      <c r="Q20" s="64"/>
      <c r="R20" s="13">
        <f>ABS(K20-MEDIAN(K20:K22))</f>
        <v>2.1097931181928011</v>
      </c>
      <c r="S20" s="13">
        <f>ABS(K21-MEDIAN(K20:K22))</f>
        <v>0</v>
      </c>
      <c r="T20" s="13">
        <f>ABS(K22-MEDIAN(K20:K22))</f>
        <v>1.6138907020447988</v>
      </c>
      <c r="V20" s="13">
        <f>ABS(L20-MEDIAN(L20:L22))</f>
        <v>0</v>
      </c>
      <c r="W20" s="13">
        <f>ABS(L21-MEDIAN(L20:L22))</f>
        <v>1.1082536706057491</v>
      </c>
      <c r="X20" s="13">
        <f>ABS(L22-MEDIAN(L20:L22))</f>
        <v>1.2277213828040807</v>
      </c>
      <c r="Z20" s="10">
        <v>16</v>
      </c>
      <c r="AB20" s="13">
        <f>AVERAGE(M50:M52)</f>
        <v>50.371042219527055</v>
      </c>
      <c r="AC20" s="13">
        <f>STDEV(M50:M52)/(SQRT(COUNT(M50:M52)))</f>
        <v>0.58462208835905649</v>
      </c>
      <c r="AE20" s="13">
        <f>AVERAGE(N50:N52)</f>
        <v>14.883695828987655</v>
      </c>
      <c r="AF20" s="13">
        <f>STDEV(N50:N52)/(SQRT(COUNT(N50:N52)))</f>
        <v>0.39426263023432645</v>
      </c>
      <c r="AH20" s="12">
        <f t="shared" si="4"/>
        <v>0.29548119659945765</v>
      </c>
      <c r="AM20" s="10">
        <v>16</v>
      </c>
      <c r="AO20" s="13">
        <f t="shared" si="5"/>
        <v>61.721654478038296</v>
      </c>
      <c r="AP20" s="13"/>
      <c r="AR20" s="13">
        <f t="shared" si="6"/>
        <v>24.960080209605319</v>
      </c>
      <c r="AS20" s="13"/>
      <c r="AU20" s="12">
        <f t="shared" si="8"/>
        <v>0.40439745856920567</v>
      </c>
      <c r="AV20" s="125"/>
    </row>
    <row r="21" spans="1:48" x14ac:dyDescent="0.2">
      <c r="A21" s="17">
        <v>1</v>
      </c>
      <c r="B21" s="18" t="s">
        <v>24</v>
      </c>
      <c r="C21" s="19">
        <v>42748</v>
      </c>
      <c r="D21" s="20">
        <v>0.43472222222222223</v>
      </c>
      <c r="E21" s="19">
        <v>42760</v>
      </c>
      <c r="F21" s="66">
        <v>0.44444444444444442</v>
      </c>
      <c r="G21" s="67">
        <f t="shared" si="7"/>
        <v>288.23333333339542</v>
      </c>
      <c r="H21" s="68">
        <v>27.7</v>
      </c>
      <c r="I21" s="78">
        <v>21.318765958532701</v>
      </c>
      <c r="J21" s="78">
        <v>8.3805329174017604</v>
      </c>
      <c r="K21" s="21">
        <v>20.592422712190999</v>
      </c>
      <c r="L21" s="21">
        <v>8.1254990069641995</v>
      </c>
      <c r="M21" s="44">
        <f t="shared" si="0"/>
        <v>39.627465304512469</v>
      </c>
      <c r="N21" s="45">
        <f t="shared" si="1"/>
        <v>15.577790856357812</v>
      </c>
      <c r="O21" s="44">
        <f t="shared" si="11"/>
        <v>38.277333601319185</v>
      </c>
      <c r="P21" s="45">
        <f t="shared" si="12"/>
        <v>15.103732111259875</v>
      </c>
      <c r="Q21" s="64"/>
      <c r="Z21" s="10">
        <v>17</v>
      </c>
      <c r="AB21" s="13">
        <f>AVERAGE(M53:M55)</f>
        <v>26.367672711594071</v>
      </c>
      <c r="AC21" s="13">
        <f>STDEV(M53:M55)/(SQRT(COUNT(M53:M55)))</f>
        <v>0.24257249659587496</v>
      </c>
      <c r="AE21" s="13">
        <f>AVERAGE(N53:N55)</f>
        <v>8.2154702767684871</v>
      </c>
      <c r="AF21" s="13">
        <f>STDEV(N53:N55)/(SQRT(COUNT(N53:N55)))</f>
        <v>0.73957229629404531</v>
      </c>
      <c r="AH21" s="12">
        <f t="shared" si="4"/>
        <v>0.31157358355544518</v>
      </c>
      <c r="AM21" s="10">
        <v>17</v>
      </c>
      <c r="AO21" s="13">
        <f t="shared" si="5"/>
        <v>32.309364920468163</v>
      </c>
      <c r="AP21" s="13"/>
      <c r="AR21" s="13">
        <f t="shared" si="6"/>
        <v>13.777411163455453</v>
      </c>
      <c r="AS21" s="13"/>
      <c r="AU21" s="12">
        <f t="shared" si="8"/>
        <v>0.42642160244775923</v>
      </c>
      <c r="AV21" s="125"/>
    </row>
    <row r="22" spans="1:48" x14ac:dyDescent="0.2">
      <c r="A22" s="17">
        <v>1</v>
      </c>
      <c r="B22" s="18" t="s">
        <v>25</v>
      </c>
      <c r="C22" s="19">
        <v>42748</v>
      </c>
      <c r="D22" s="20">
        <v>0.43472222222222223</v>
      </c>
      <c r="E22" s="19">
        <v>42760</v>
      </c>
      <c r="F22" s="66">
        <v>0.44444444444444442</v>
      </c>
      <c r="G22" s="67">
        <f t="shared" si="7"/>
        <v>288.23333333339542</v>
      </c>
      <c r="H22" s="68">
        <v>27.7</v>
      </c>
      <c r="I22" s="78">
        <v>19.704875256487899</v>
      </c>
      <c r="J22" s="78">
        <v>6.0445578639919297</v>
      </c>
      <c r="K22" s="21">
        <v>18.9785320101462</v>
      </c>
      <c r="L22" s="21">
        <v>5.7895239535543697</v>
      </c>
      <c r="M22" s="44">
        <f t="shared" si="0"/>
        <v>36.627554431389989</v>
      </c>
      <c r="N22" s="45">
        <f t="shared" si="1"/>
        <v>11.235664742620228</v>
      </c>
      <c r="O22" s="44">
        <f t="shared" si="11"/>
        <v>35.277422728196711</v>
      </c>
      <c r="P22" s="45">
        <f t="shared" si="12"/>
        <v>10.761605997522294</v>
      </c>
      <c r="Q22" s="64"/>
      <c r="Z22" s="105" t="s">
        <v>112</v>
      </c>
      <c r="AA22" s="106"/>
      <c r="AB22" s="107">
        <f>AVERAGE(M56:M58)</f>
        <v>1.3548907229679485</v>
      </c>
      <c r="AC22" s="107">
        <f>STDEV(M56:M58)/(SQRT(COUNT(M56:M58)))</f>
        <v>0.45373821911736467</v>
      </c>
      <c r="AD22" s="105"/>
      <c r="AE22" s="107">
        <f>AVERAGE(N56:N58)</f>
        <v>0.47525096830270003</v>
      </c>
      <c r="AF22" s="107">
        <f>STDEV(N56:N58)/(SQRT(COUNT(N56:N58)))</f>
        <v>6.1171180386827124E-2</v>
      </c>
      <c r="AH22" s="12"/>
    </row>
    <row r="23" spans="1:48" x14ac:dyDescent="0.2">
      <c r="A23" s="22">
        <v>1</v>
      </c>
      <c r="B23" s="23" t="s">
        <v>26</v>
      </c>
      <c r="C23" s="24">
        <v>42748</v>
      </c>
      <c r="D23" s="25">
        <v>0.43958333333333338</v>
      </c>
      <c r="E23" s="24">
        <v>42760</v>
      </c>
      <c r="F23" s="25">
        <v>0.4465277777777778</v>
      </c>
      <c r="G23" s="50">
        <f t="shared" si="7"/>
        <v>288.16666666668607</v>
      </c>
      <c r="H23" s="51">
        <v>27.7</v>
      </c>
      <c r="I23" s="77">
        <v>18.001429656170401</v>
      </c>
      <c r="J23" s="77">
        <v>6.0815506177492002</v>
      </c>
      <c r="K23" s="26">
        <v>17.274918372061901</v>
      </c>
      <c r="L23" s="26">
        <v>5.8264577058285596</v>
      </c>
      <c r="M23" s="42">
        <f t="shared" si="0"/>
        <v>33.461178312058919</v>
      </c>
      <c r="N23" s="43">
        <f t="shared" si="1"/>
        <v>11.304427121685038</v>
      </c>
      <c r="O23" s="42">
        <f>K23*12.157*46/(273.15+H23)</f>
        <v>32.11073425913645</v>
      </c>
      <c r="P23" s="43">
        <f>L23*12.157*46/(273.15+H23)</f>
        <v>10.8302587042342</v>
      </c>
      <c r="Q23" s="64"/>
      <c r="R23" s="13">
        <f>ABS(K23-MEDIAN(K23:K25))</f>
        <v>0.10119090715570067</v>
      </c>
      <c r="S23" s="13">
        <f>ABS(K24-MEDIAN(K23:K25))</f>
        <v>0.16500786416400004</v>
      </c>
      <c r="T23" s="13">
        <f>ABS(K25-MEDIAN(K23:K25))</f>
        <v>0</v>
      </c>
      <c r="V23" s="13">
        <f>ABS(L23-MEDIAN(L23:L25))</f>
        <v>0.30000960405283994</v>
      </c>
      <c r="W23" s="13">
        <f>ABS(L24-MEDIAN(L23:L25))</f>
        <v>0</v>
      </c>
      <c r="X23" s="13">
        <f>ABS(L25-MEDIAN(L23:L25))</f>
        <v>0.62798620509366998</v>
      </c>
    </row>
    <row r="24" spans="1:48" x14ac:dyDescent="0.2">
      <c r="A24" s="22">
        <v>1</v>
      </c>
      <c r="B24" s="23" t="s">
        <v>27</v>
      </c>
      <c r="C24" s="24">
        <v>42748</v>
      </c>
      <c r="D24" s="25">
        <v>0.43958333333333338</v>
      </c>
      <c r="E24" s="24">
        <v>42760</v>
      </c>
      <c r="F24" s="25">
        <v>0.4465277777777778</v>
      </c>
      <c r="G24" s="50">
        <f t="shared" si="7"/>
        <v>288.16666666668607</v>
      </c>
      <c r="H24" s="51">
        <v>27.7</v>
      </c>
      <c r="I24" s="77">
        <v>17.735230884850701</v>
      </c>
      <c r="J24" s="77">
        <v>5.7815410136963603</v>
      </c>
      <c r="K24" s="26">
        <v>17.0087196007422</v>
      </c>
      <c r="L24" s="26">
        <v>5.5264481017757197</v>
      </c>
      <c r="M24" s="42">
        <f t="shared" si="0"/>
        <v>32.966366248588933</v>
      </c>
      <c r="N24" s="43">
        <f t="shared" si="1"/>
        <v>10.746767255314298</v>
      </c>
      <c r="O24" s="42">
        <f>K24*12.157*46/(273.15+H24)</f>
        <v>31.615922195666464</v>
      </c>
      <c r="P24" s="43">
        <f>L24*12.157*46/(273.15+H24)</f>
        <v>10.272598837863461</v>
      </c>
      <c r="Q24" s="64"/>
    </row>
    <row r="25" spans="1:48" x14ac:dyDescent="0.2">
      <c r="A25" s="22">
        <v>1</v>
      </c>
      <c r="B25" s="23" t="s">
        <v>28</v>
      </c>
      <c r="C25" s="24">
        <v>42748</v>
      </c>
      <c r="D25" s="25">
        <v>0.43958333333333338</v>
      </c>
      <c r="E25" s="24">
        <v>42760</v>
      </c>
      <c r="F25" s="25">
        <v>0.4465277777777778</v>
      </c>
      <c r="G25" s="50">
        <f t="shared" si="7"/>
        <v>288.16666666668607</v>
      </c>
      <c r="H25" s="51">
        <v>27.7</v>
      </c>
      <c r="I25" s="77">
        <v>17.900238749014701</v>
      </c>
      <c r="J25" s="77">
        <v>5.1535548086026903</v>
      </c>
      <c r="K25" s="26">
        <v>17.1737274649062</v>
      </c>
      <c r="L25" s="26">
        <v>4.8984618966820497</v>
      </c>
      <c r="M25" s="42">
        <f t="shared" si="0"/>
        <v>33.273083974410838</v>
      </c>
      <c r="N25" s="43">
        <f t="shared" si="1"/>
        <v>9.5794622807924696</v>
      </c>
      <c r="O25" s="42">
        <f>K25*12.157*46/(273.15+H25)</f>
        <v>31.922639921488372</v>
      </c>
      <c r="P25" s="43">
        <f>L25*12.157*46/(273.15+H25)</f>
        <v>9.1052938633416307</v>
      </c>
      <c r="Q25" s="64"/>
      <c r="Z25" s="126"/>
      <c r="AA25" s="126"/>
      <c r="AB25" s="126"/>
      <c r="AC25" s="127"/>
      <c r="AD25" s="126"/>
      <c r="AE25" s="126"/>
      <c r="AF25" s="127"/>
    </row>
    <row r="26" spans="1:48" x14ac:dyDescent="0.2">
      <c r="A26" s="17">
        <v>1</v>
      </c>
      <c r="B26" s="18" t="s">
        <v>29</v>
      </c>
      <c r="C26" s="19">
        <v>42748</v>
      </c>
      <c r="D26" s="20">
        <v>0.47430555555555554</v>
      </c>
      <c r="E26" s="19">
        <v>42760</v>
      </c>
      <c r="F26" s="66">
        <v>0.4597222222222222</v>
      </c>
      <c r="G26" s="67">
        <f t="shared" si="7"/>
        <v>287.64999999990687</v>
      </c>
      <c r="H26" s="68">
        <v>27.7</v>
      </c>
      <c r="I26" s="78">
        <v>15.6338799854323</v>
      </c>
      <c r="J26" s="78">
        <v>5.8861653860618999</v>
      </c>
      <c r="K26" s="21">
        <v>14.906063767676899</v>
      </c>
      <c r="L26" s="21">
        <v>5.6306142853544703</v>
      </c>
      <c r="M26" s="44">
        <f t="shared" si="0"/>
        <v>29.06036108762979</v>
      </c>
      <c r="N26" s="45">
        <f t="shared" si="1"/>
        <v>10.941243741147774</v>
      </c>
      <c r="O26" s="44">
        <f t="shared" ref="O26:O28" si="13">K26*12.157*46/(273.15+H26)</f>
        <v>27.707491415282739</v>
      </c>
      <c r="P26" s="45">
        <f t="shared" ref="P26:P28" si="14">L26*12.157*46/(273.15+H26)</f>
        <v>10.466223639303632</v>
      </c>
      <c r="Q26" s="64"/>
      <c r="R26" s="13">
        <f>ABS(K26-MEDIAN(K26:K28))</f>
        <v>0</v>
      </c>
      <c r="S26" s="13">
        <f>ABS(K27-MEDIAN(K26:K28))</f>
        <v>2.192538243409901</v>
      </c>
      <c r="T26" s="13">
        <f>ABS(K28-MEDIAN(K26:K28))</f>
        <v>0.99894321783719953</v>
      </c>
      <c r="V26" s="13">
        <f>ABS(L26-MEDIAN(L26:L28))</f>
        <v>0.22668486341822014</v>
      </c>
      <c r="W26" s="13">
        <f>ABS(L27-MEDIAN(L26:L28))</f>
        <v>0</v>
      </c>
      <c r="X26" s="13">
        <f>ABS(L28-MEDIAN(L26:L28))</f>
        <v>0.49921610370753999</v>
      </c>
      <c r="Z26" s="126"/>
      <c r="AA26" s="126"/>
      <c r="AB26" s="126"/>
      <c r="AC26" s="127"/>
      <c r="AD26" s="127"/>
      <c r="AE26" s="126"/>
      <c r="AF26" s="127"/>
    </row>
    <row r="27" spans="1:48" x14ac:dyDescent="0.2">
      <c r="A27" s="17">
        <v>1</v>
      </c>
      <c r="B27" s="18" t="s">
        <v>30</v>
      </c>
      <c r="C27" s="19">
        <v>42748</v>
      </c>
      <c r="D27" s="20">
        <v>0.47430555555555554</v>
      </c>
      <c r="E27" s="19">
        <v>42760</v>
      </c>
      <c r="F27" s="66">
        <v>0.4597222222222222</v>
      </c>
      <c r="G27" s="67">
        <f t="shared" si="7"/>
        <v>287.64999999990687</v>
      </c>
      <c r="H27" s="68">
        <v>27.7</v>
      </c>
      <c r="I27" s="78">
        <v>17.826418228842201</v>
      </c>
      <c r="J27" s="78">
        <v>6.11285024948012</v>
      </c>
      <c r="K27" s="21">
        <v>17.0986020110868</v>
      </c>
      <c r="L27" s="21">
        <v>5.8572991487726904</v>
      </c>
      <c r="M27" s="44">
        <f t="shared" si="0"/>
        <v>33.135865895860377</v>
      </c>
      <c r="N27" s="45">
        <f t="shared" si="1"/>
        <v>11.362607087301885</v>
      </c>
      <c r="O27" s="44">
        <f t="shared" si="13"/>
        <v>31.782996223513322</v>
      </c>
      <c r="P27" s="45">
        <f t="shared" si="14"/>
        <v>10.887586985457743</v>
      </c>
      <c r="Q27" s="64"/>
    </row>
    <row r="28" spans="1:48" x14ac:dyDescent="0.2">
      <c r="A28" s="17">
        <v>1</v>
      </c>
      <c r="B28" s="18" t="s">
        <v>31</v>
      </c>
      <c r="C28" s="19">
        <v>42748</v>
      </c>
      <c r="D28" s="20">
        <v>0.47430555555555554</v>
      </c>
      <c r="E28" s="19">
        <v>42760</v>
      </c>
      <c r="F28" s="66">
        <v>0.4597222222222222</v>
      </c>
      <c r="G28" s="67">
        <f t="shared" si="7"/>
        <v>287.64999999990687</v>
      </c>
      <c r="H28" s="68">
        <v>27.7</v>
      </c>
      <c r="I28" s="78">
        <v>14.6349367675951</v>
      </c>
      <c r="J28" s="78">
        <v>6.6120663531876698</v>
      </c>
      <c r="K28" s="21">
        <v>13.9071205498397</v>
      </c>
      <c r="L28" s="21">
        <v>6.3565152524802304</v>
      </c>
      <c r="M28" s="44">
        <f t="shared" si="0"/>
        <v>27.203518727100107</v>
      </c>
      <c r="N28" s="45">
        <f t="shared" si="1"/>
        <v>12.290553332764883</v>
      </c>
      <c r="O28" s="44">
        <f t="shared" si="13"/>
        <v>25.850649054753056</v>
      </c>
      <c r="P28" s="45">
        <f t="shared" si="14"/>
        <v>11.815533230920723</v>
      </c>
      <c r="Q28" s="64"/>
    </row>
    <row r="29" spans="1:48" x14ac:dyDescent="0.2">
      <c r="A29" s="22">
        <v>1</v>
      </c>
      <c r="B29" s="23" t="s">
        <v>32</v>
      </c>
      <c r="C29" s="24">
        <v>42748</v>
      </c>
      <c r="D29" s="25">
        <v>0.50902777777777775</v>
      </c>
      <c r="E29" s="24">
        <v>42760</v>
      </c>
      <c r="F29" s="25">
        <v>0.49583333333333335</v>
      </c>
      <c r="G29" s="50">
        <f t="shared" si="7"/>
        <v>287.68333333334886</v>
      </c>
      <c r="H29" s="51">
        <v>27.7</v>
      </c>
      <c r="I29" s="77">
        <v>36.691954756411498</v>
      </c>
      <c r="J29" s="77">
        <v>11.674191152914601</v>
      </c>
      <c r="K29" s="26">
        <v>35.964222869369301</v>
      </c>
      <c r="L29" s="26">
        <v>11.4186696624385</v>
      </c>
      <c r="M29" s="42">
        <f t="shared" si="0"/>
        <v>68.203251862356495</v>
      </c>
      <c r="N29" s="43">
        <f t="shared" si="1"/>
        <v>21.700064899169718</v>
      </c>
      <c r="O29" s="42">
        <f>K29*12.157*46/(273.15+H29)</f>
        <v>66.850538944505374</v>
      </c>
      <c r="P29" s="43">
        <f>L29*12.157*46/(273.15+H29)</f>
        <v>21.22509983702238</v>
      </c>
      <c r="Q29" s="64"/>
      <c r="R29" s="13">
        <f>ABS(K29-MEDIAN(K29:K31))</f>
        <v>0</v>
      </c>
      <c r="S29" s="13">
        <f>ABS(K30-MEDIAN(K29:K31))</f>
        <v>0.75402065177139832</v>
      </c>
      <c r="T29" s="13">
        <f>ABS(K31-MEDIAN(K29:K31))</f>
        <v>0.97817662276990092</v>
      </c>
      <c r="V29" s="13">
        <f>ABS(L29-MEDIAN(L29:L31))</f>
        <v>0</v>
      </c>
      <c r="W29" s="13">
        <f>ABS(L30-MEDIAN(L29:L31))</f>
        <v>0.1782708073089001</v>
      </c>
      <c r="X29" s="13">
        <f>ABS(L31-MEDIAN(L29:L31))</f>
        <v>0.96775581110549957</v>
      </c>
    </row>
    <row r="30" spans="1:48" x14ac:dyDescent="0.2">
      <c r="A30" s="22">
        <v>1</v>
      </c>
      <c r="B30" s="23" t="s">
        <v>33</v>
      </c>
      <c r="C30" s="24">
        <v>42748</v>
      </c>
      <c r="D30" s="25">
        <v>0.50902777777777775</v>
      </c>
      <c r="E30" s="24">
        <v>42760</v>
      </c>
      <c r="F30" s="25">
        <v>0.49583333333333335</v>
      </c>
      <c r="G30" s="50">
        <f t="shared" si="7"/>
        <v>287.68333333334886</v>
      </c>
      <c r="H30" s="51">
        <v>27.7</v>
      </c>
      <c r="I30" s="77">
        <v>35.9379341046401</v>
      </c>
      <c r="J30" s="77">
        <v>11.4959203456057</v>
      </c>
      <c r="K30" s="26">
        <v>35.210202217597903</v>
      </c>
      <c r="L30" s="26">
        <v>11.2403988551296</v>
      </c>
      <c r="M30" s="42">
        <f t="shared" si="0"/>
        <v>66.80167321211583</v>
      </c>
      <c r="N30" s="43">
        <f t="shared" si="1"/>
        <v>21.368693925578565</v>
      </c>
      <c r="O30" s="42">
        <f>K30*12.157*46/(273.15+H30)</f>
        <v>65.448960294264708</v>
      </c>
      <c r="P30" s="43">
        <f>L30*12.157*46/(273.15+H30)</f>
        <v>20.893728863431228</v>
      </c>
      <c r="Q30" s="64"/>
    </row>
    <row r="31" spans="1:48" x14ac:dyDescent="0.2">
      <c r="A31" s="22">
        <v>1</v>
      </c>
      <c r="B31" s="23" t="s">
        <v>34</v>
      </c>
      <c r="C31" s="24">
        <v>42748</v>
      </c>
      <c r="D31" s="25">
        <v>0.50902777777777775</v>
      </c>
      <c r="E31" s="24">
        <v>42760</v>
      </c>
      <c r="F31" s="25">
        <v>0.49583333333333335</v>
      </c>
      <c r="G31" s="50">
        <f t="shared" si="7"/>
        <v>287.68333333334886</v>
      </c>
      <c r="H31" s="51">
        <v>27.7</v>
      </c>
      <c r="I31" s="77">
        <v>37.670131379181399</v>
      </c>
      <c r="J31" s="77">
        <v>12.6419469640201</v>
      </c>
      <c r="K31" s="26">
        <v>36.942399492139202</v>
      </c>
      <c r="L31" s="26">
        <v>12.386425473544</v>
      </c>
      <c r="M31" s="42">
        <f t="shared" si="0"/>
        <v>70.021493136541736</v>
      </c>
      <c r="N31" s="43">
        <f t="shared" si="1"/>
        <v>23.498935898664612</v>
      </c>
      <c r="O31" s="42">
        <f>K31*12.157*46/(273.15+H31)</f>
        <v>68.668780218690614</v>
      </c>
      <c r="P31" s="43">
        <f>L31*12.157*46/(273.15+H31)</f>
        <v>23.023970836517279</v>
      </c>
      <c r="Q31" s="64"/>
    </row>
    <row r="32" spans="1:48" ht="12" customHeight="1" x14ac:dyDescent="0.2">
      <c r="A32" s="17">
        <v>1</v>
      </c>
      <c r="B32" s="18" t="s">
        <v>35</v>
      </c>
      <c r="C32" s="19">
        <v>42748</v>
      </c>
      <c r="D32" s="20">
        <v>0.50555555555555554</v>
      </c>
      <c r="E32" s="19">
        <v>42760</v>
      </c>
      <c r="F32" s="66">
        <v>0.49791666666666662</v>
      </c>
      <c r="G32" s="67">
        <f t="shared" si="7"/>
        <v>287.81666666659294</v>
      </c>
      <c r="H32" s="68">
        <v>27.7</v>
      </c>
      <c r="I32" s="78">
        <v>56.054432384134202</v>
      </c>
      <c r="J32" s="78">
        <v>9.8308987599210695</v>
      </c>
      <c r="K32" s="34">
        <v>55.327037624609098</v>
      </c>
      <c r="L32" s="21">
        <v>9.5754956417839896</v>
      </c>
      <c r="M32" s="47">
        <f t="shared" si="0"/>
        <v>104.19435528243409</v>
      </c>
      <c r="N32" s="45">
        <f t="shared" si="1"/>
        <v>18.273740622637796</v>
      </c>
      <c r="O32" s="47">
        <f t="shared" ref="O32:O34" si="15">K32*12.157*46/(273.15+H32)</f>
        <v>102.84226901947532</v>
      </c>
      <c r="P32" s="45">
        <f t="shared" ref="P32:P34" si="16">L32*12.157*46/(273.15+H32)</f>
        <v>17.798995591789023</v>
      </c>
      <c r="Q32" s="64"/>
      <c r="R32" s="13">
        <f>ABS(K32-MEDIAN(K32:K34))</f>
        <v>11.798732290653099</v>
      </c>
      <c r="S32" s="13">
        <f>ABS(K33-MEDIAN(K32:K34))</f>
        <v>2.6569923679195</v>
      </c>
      <c r="T32" s="13">
        <f>ABS(K34-MEDIAN(K32:K34))</f>
        <v>0</v>
      </c>
      <c r="V32" s="13">
        <f>ABS(L32-MEDIAN(L32:L34))</f>
        <v>0.1145495712575002</v>
      </c>
      <c r="W32" s="13">
        <f>ABS(L33-MEDIAN(L32:L34))</f>
        <v>2.9884710368067093</v>
      </c>
      <c r="X32" s="13">
        <f>ABS(L34-MEDIAN(L32:L34))</f>
        <v>0</v>
      </c>
    </row>
    <row r="33" spans="1:24" x14ac:dyDescent="0.2">
      <c r="A33" s="17">
        <v>1</v>
      </c>
      <c r="B33" s="18" t="s">
        <v>36</v>
      </c>
      <c r="C33" s="19">
        <v>42748</v>
      </c>
      <c r="D33" s="20">
        <v>0.50555555555555554</v>
      </c>
      <c r="E33" s="19">
        <v>42760</v>
      </c>
      <c r="F33" s="66">
        <v>0.49791666666666662</v>
      </c>
      <c r="G33" s="67">
        <f t="shared" si="7"/>
        <v>287.81666666659294</v>
      </c>
      <c r="H33" s="68">
        <v>27.7</v>
      </c>
      <c r="I33" s="78">
        <v>41.598707725561603</v>
      </c>
      <c r="J33" s="78">
        <v>12.933919367985199</v>
      </c>
      <c r="K33" s="21">
        <v>40.871312966036498</v>
      </c>
      <c r="L33" s="34">
        <v>12.678516249848199</v>
      </c>
      <c r="M33" s="44">
        <f t="shared" si="0"/>
        <v>77.32395722687059</v>
      </c>
      <c r="N33" s="46">
        <f t="shared" si="1"/>
        <v>24.041656163548012</v>
      </c>
      <c r="O33" s="44">
        <f t="shared" si="15"/>
        <v>75.971870963911798</v>
      </c>
      <c r="P33" s="46">
        <f t="shared" si="16"/>
        <v>23.566911132699385</v>
      </c>
      <c r="Q33" s="64"/>
    </row>
    <row r="34" spans="1:24" x14ac:dyDescent="0.2">
      <c r="A34" s="17">
        <v>1</v>
      </c>
      <c r="B34" s="18" t="s">
        <v>37</v>
      </c>
      <c r="C34" s="19">
        <v>42748</v>
      </c>
      <c r="D34" s="20">
        <v>0.50555555555555554</v>
      </c>
      <c r="E34" s="19">
        <v>42760</v>
      </c>
      <c r="F34" s="66">
        <v>0.49791666666666662</v>
      </c>
      <c r="G34" s="67">
        <f t="shared" si="7"/>
        <v>287.81666666659294</v>
      </c>
      <c r="H34" s="68">
        <v>27.7</v>
      </c>
      <c r="I34" s="78">
        <v>44.255700093481103</v>
      </c>
      <c r="J34" s="78">
        <v>9.9454483311785697</v>
      </c>
      <c r="K34" s="21">
        <v>43.528305333955998</v>
      </c>
      <c r="L34" s="21">
        <v>9.6900452130414898</v>
      </c>
      <c r="M34" s="44">
        <f t="shared" si="0"/>
        <v>82.262792480228327</v>
      </c>
      <c r="N34" s="45">
        <f t="shared" si="1"/>
        <v>18.486666134812509</v>
      </c>
      <c r="O34" s="44">
        <f t="shared" si="15"/>
        <v>80.910706217269549</v>
      </c>
      <c r="P34" s="45">
        <f t="shared" si="16"/>
        <v>18.011921103963733</v>
      </c>
      <c r="Q34" s="64"/>
    </row>
    <row r="35" spans="1:24" x14ac:dyDescent="0.2">
      <c r="A35" s="22">
        <v>1</v>
      </c>
      <c r="B35" s="23" t="s">
        <v>38</v>
      </c>
      <c r="C35" s="24">
        <v>42748</v>
      </c>
      <c r="D35" s="25">
        <v>0.48055555555555557</v>
      </c>
      <c r="E35" s="24">
        <v>42760</v>
      </c>
      <c r="F35" s="25">
        <v>0.46319444444444446</v>
      </c>
      <c r="G35" s="50">
        <f t="shared" si="7"/>
        <v>287.58333333319752</v>
      </c>
      <c r="H35" s="51">
        <v>27.7</v>
      </c>
      <c r="I35" s="77">
        <v>17.234088448741399</v>
      </c>
      <c r="J35" s="77">
        <v>4.7716761141625703</v>
      </c>
      <c r="K35" s="26">
        <v>16.506103510912201</v>
      </c>
      <c r="L35" s="26">
        <v>4.5160657724001698</v>
      </c>
      <c r="M35" s="42">
        <f t="shared" si="0"/>
        <v>32.034839323523563</v>
      </c>
      <c r="N35" s="43">
        <f t="shared" si="1"/>
        <v>8.8696235995154424</v>
      </c>
      <c r="O35" s="42">
        <f>K35*12.157*46/(273.15+H35)</f>
        <v>30.681656033170494</v>
      </c>
      <c r="P35" s="43">
        <f>L35*12.157*46/(273.15+H35)</f>
        <v>8.3944933800005579</v>
      </c>
      <c r="Q35" s="64"/>
      <c r="R35" s="13">
        <f>ABS(K35-MEDIAN(K35:K37))</f>
        <v>0.21634665340210191</v>
      </c>
      <c r="S35" s="13">
        <f>ABS(K36-MEDIAN(K35:K37))</f>
        <v>1.2013317344287984</v>
      </c>
      <c r="T35" s="13">
        <f>ABS(K37-MEDIAN(K35:K37))</f>
        <v>0</v>
      </c>
      <c r="V35" s="13">
        <f>ABS(L35-MEDIAN(L35:L37))</f>
        <v>0.81523564150135019</v>
      </c>
      <c r="W35" s="13">
        <f>ABS(L36-MEDIAN(L35:L37))</f>
        <v>0</v>
      </c>
      <c r="X35" s="13">
        <f>ABS(L37-MEDIAN(L35:L37))</f>
        <v>0.2420230810707098</v>
      </c>
    </row>
    <row r="36" spans="1:24" x14ac:dyDescent="0.2">
      <c r="A36" s="22">
        <v>1</v>
      </c>
      <c r="B36" s="23" t="s">
        <v>39</v>
      </c>
      <c r="C36" s="24">
        <v>42748</v>
      </c>
      <c r="D36" s="25">
        <v>0.48055555555555557</v>
      </c>
      <c r="E36" s="24">
        <v>42760</v>
      </c>
      <c r="F36" s="25">
        <v>0.46319444444444446</v>
      </c>
      <c r="G36" s="50">
        <f t="shared" si="7"/>
        <v>287.58333333319752</v>
      </c>
      <c r="H36" s="51">
        <v>27.7</v>
      </c>
      <c r="I36" s="77">
        <v>15.8164100609104</v>
      </c>
      <c r="J36" s="77">
        <v>5.5869117556639196</v>
      </c>
      <c r="K36" s="26">
        <v>15.088425123081301</v>
      </c>
      <c r="L36" s="26">
        <v>5.33130141390152</v>
      </c>
      <c r="M36" s="42">
        <f t="shared" si="0"/>
        <v>29.399649217491898</v>
      </c>
      <c r="N36" s="43">
        <f t="shared" si="1"/>
        <v>10.384989083682528</v>
      </c>
      <c r="O36" s="42">
        <f>K36*12.157*46/(273.15+H36)</f>
        <v>28.046465927139014</v>
      </c>
      <c r="P36" s="43">
        <f>L36*12.157*46/(273.15+H36)</f>
        <v>9.9098588641676439</v>
      </c>
      <c r="Q36" s="64"/>
    </row>
    <row r="37" spans="1:24" x14ac:dyDescent="0.2">
      <c r="A37" s="22">
        <v>1</v>
      </c>
      <c r="B37" s="23" t="s">
        <v>40</v>
      </c>
      <c r="C37" s="24">
        <v>42748</v>
      </c>
      <c r="D37" s="25">
        <v>0.48055555555555557</v>
      </c>
      <c r="E37" s="24">
        <v>42760</v>
      </c>
      <c r="F37" s="25">
        <v>0.46319444444444446</v>
      </c>
      <c r="G37" s="50">
        <f t="shared" si="7"/>
        <v>287.58333333319752</v>
      </c>
      <c r="H37" s="51">
        <v>27.7</v>
      </c>
      <c r="I37" s="77">
        <v>17.017741795339301</v>
      </c>
      <c r="J37" s="77">
        <v>5.8289348367346303</v>
      </c>
      <c r="K37" s="26">
        <v>16.289756857510099</v>
      </c>
      <c r="L37" s="26">
        <v>5.5733244949722298</v>
      </c>
      <c r="M37" s="42">
        <f t="shared" ref="M37:M58" si="17">I37*12.157*46/(273.15+H37)</f>
        <v>31.632692711561365</v>
      </c>
      <c r="N37" s="43">
        <f t="shared" ref="N37:N58" si="18">J37*12.157*46/(273.15+H37)</f>
        <v>10.834863211794628</v>
      </c>
      <c r="O37" s="42">
        <f>K37*12.157*46/(273.15+H37)</f>
        <v>30.279509421208289</v>
      </c>
      <c r="P37" s="43">
        <f>L37*12.157*46/(273.15+H37)</f>
        <v>10.359732992279744</v>
      </c>
      <c r="Q37" s="64"/>
    </row>
    <row r="38" spans="1:24" x14ac:dyDescent="0.2">
      <c r="A38" s="17">
        <v>1</v>
      </c>
      <c r="B38" s="18" t="s">
        <v>41</v>
      </c>
      <c r="C38" s="19">
        <v>42748</v>
      </c>
      <c r="D38" s="20">
        <v>0.55208333333333337</v>
      </c>
      <c r="E38" s="19">
        <v>42760</v>
      </c>
      <c r="F38" s="66">
        <v>0.47013888888888888</v>
      </c>
      <c r="G38" s="67">
        <f t="shared" si="7"/>
        <v>286.03333333320916</v>
      </c>
      <c r="H38" s="68">
        <v>27.7</v>
      </c>
      <c r="I38" s="78">
        <v>10.617636203421</v>
      </c>
      <c r="J38" s="78">
        <v>3.71149287860871</v>
      </c>
      <c r="K38" s="70">
        <v>9.88570635245717</v>
      </c>
      <c r="L38" s="69">
        <v>3.4544973974812101</v>
      </c>
      <c r="M38" s="44">
        <f t="shared" si="17"/>
        <v>19.736133465014124</v>
      </c>
      <c r="N38" s="45">
        <f t="shared" si="18"/>
        <v>6.8989478828696029</v>
      </c>
      <c r="O38" s="44">
        <f t="shared" ref="O38:O40" si="19">K38*12.157*46/(273.15+H38)</f>
        <v>18.375617343639036</v>
      </c>
      <c r="P38" s="45">
        <f t="shared" ref="P38:P40" si="20">L38*12.157*46/(273.15+H38)</f>
        <v>6.421242957002617</v>
      </c>
      <c r="Q38" s="64"/>
      <c r="R38" s="13">
        <f>ABS(K38-MEDIAN(K38:K40))</f>
        <v>5.3318889029329242E-2</v>
      </c>
      <c r="S38" s="13">
        <f>ABS(K39-MEDIAN(K38:K40))</f>
        <v>0.36941422168770011</v>
      </c>
      <c r="T38" s="13">
        <f>ABS(K40-MEDIAN(K38:K40))</f>
        <v>0</v>
      </c>
      <c r="V38" s="13">
        <f>ABS(L38-MEDIAN(L38:L40))</f>
        <v>5.1228335108469913E-2</v>
      </c>
      <c r="W38" s="13">
        <f>ABS(L39-MEDIAN(L38:L40))</f>
        <v>0.34066842847133039</v>
      </c>
      <c r="X38" s="13">
        <f>ABS(L40-MEDIAN(L38:L40))</f>
        <v>0</v>
      </c>
    </row>
    <row r="39" spans="1:24" x14ac:dyDescent="0.2">
      <c r="A39" s="17">
        <v>1</v>
      </c>
      <c r="B39" s="18" t="s">
        <v>42</v>
      </c>
      <c r="C39" s="19">
        <v>42748</v>
      </c>
      <c r="D39" s="20">
        <v>0.55208333333333337</v>
      </c>
      <c r="E39" s="19">
        <v>42760</v>
      </c>
      <c r="F39" s="66">
        <v>0.47013888888888888</v>
      </c>
      <c r="G39" s="67">
        <f t="shared" si="7"/>
        <v>286.03333333320916</v>
      </c>
      <c r="H39" s="68">
        <v>27.7</v>
      </c>
      <c r="I39" s="78">
        <v>11.040369314138101</v>
      </c>
      <c r="J39" s="78">
        <v>3.3195961150289102</v>
      </c>
      <c r="K39" s="69">
        <v>10.308439463174199</v>
      </c>
      <c r="L39" s="69">
        <v>3.0626006339014098</v>
      </c>
      <c r="M39" s="44">
        <f t="shared" si="17"/>
        <v>20.521912609575992</v>
      </c>
      <c r="N39" s="45">
        <f t="shared" si="18"/>
        <v>6.1704875474113265</v>
      </c>
      <c r="O39" s="44">
        <f t="shared" si="19"/>
        <v>19.161396488200772</v>
      </c>
      <c r="P39" s="45">
        <f t="shared" si="20"/>
        <v>5.6927826215443389</v>
      </c>
      <c r="Q39" s="64"/>
    </row>
    <row r="40" spans="1:24" x14ac:dyDescent="0.2">
      <c r="A40" s="17">
        <v>1</v>
      </c>
      <c r="B40" s="18" t="s">
        <v>43</v>
      </c>
      <c r="C40" s="19">
        <v>42748</v>
      </c>
      <c r="D40" s="20">
        <v>0.55208333333333337</v>
      </c>
      <c r="E40" s="19">
        <v>42760</v>
      </c>
      <c r="F40" s="66">
        <v>0.47013888888888888</v>
      </c>
      <c r="G40" s="67">
        <f t="shared" si="7"/>
        <v>286.03333333320916</v>
      </c>
      <c r="H40" s="68">
        <v>27.7</v>
      </c>
      <c r="I40" s="78">
        <v>10.6709550924504</v>
      </c>
      <c r="J40" s="78">
        <v>3.6602645435002401</v>
      </c>
      <c r="K40" s="70">
        <v>9.9390252414864992</v>
      </c>
      <c r="L40" s="69">
        <v>3.4032690623727402</v>
      </c>
      <c r="M40" s="44">
        <f t="shared" si="17"/>
        <v>19.835242973941494</v>
      </c>
      <c r="N40" s="45">
        <f t="shared" si="18"/>
        <v>6.8037243096070847</v>
      </c>
      <c r="O40" s="44">
        <f t="shared" si="19"/>
        <v>18.474726852566274</v>
      </c>
      <c r="P40" s="45">
        <f t="shared" si="20"/>
        <v>6.3260193837400989</v>
      </c>
      <c r="Q40" s="64"/>
    </row>
    <row r="41" spans="1:24" x14ac:dyDescent="0.2">
      <c r="A41" s="22">
        <v>1</v>
      </c>
      <c r="B41" s="23" t="s">
        <v>44</v>
      </c>
      <c r="C41" s="24">
        <v>42748</v>
      </c>
      <c r="D41" s="25">
        <v>0.5625</v>
      </c>
      <c r="E41" s="24">
        <v>42760</v>
      </c>
      <c r="F41" s="25">
        <v>0.4777777777777778</v>
      </c>
      <c r="G41" s="50">
        <f t="shared" si="7"/>
        <v>285.96666666667443</v>
      </c>
      <c r="H41" s="51">
        <v>27.7</v>
      </c>
      <c r="I41" s="77">
        <v>11.1756155190577</v>
      </c>
      <c r="J41" s="77">
        <v>2.9411919478569302</v>
      </c>
      <c r="K41" s="26">
        <v>10.443515035188</v>
      </c>
      <c r="L41" s="26">
        <v>2.68413655404016</v>
      </c>
      <c r="M41" s="42">
        <f t="shared" si="17"/>
        <v>20.773309163365415</v>
      </c>
      <c r="N41" s="43">
        <f t="shared" si="18"/>
        <v>5.4671073407493713</v>
      </c>
      <c r="O41" s="42">
        <f>K41*12.157*46/(273.15+H41)</f>
        <v>19.412475868399216</v>
      </c>
      <c r="P41" s="43">
        <f>L41*12.157*46/(273.15+H41)</f>
        <v>4.989291048773298</v>
      </c>
      <c r="Q41" s="64"/>
      <c r="R41" s="13">
        <f>ABS(K41-MEDIAN(K41:K43))</f>
        <v>0</v>
      </c>
      <c r="S41" s="13">
        <f>ABS(K42-MEDIAN(K41:K43))</f>
        <v>0.26435840346739958</v>
      </c>
      <c r="T41" s="13">
        <f>ABS(K43-MEDIAN(K41:K43))</f>
        <v>0.22261622737799946</v>
      </c>
      <c r="V41" s="13">
        <f>ABS(L41-MEDIAN(L41:L43))</f>
        <v>8.454645843143016E-2</v>
      </c>
      <c r="W41" s="13">
        <f>ABS(L42-MEDIAN(L41:L43))</f>
        <v>0.28438354199661964</v>
      </c>
      <c r="X41" s="13">
        <f>ABS(L43-MEDIAN(L41:L43))</f>
        <v>0</v>
      </c>
    </row>
    <row r="42" spans="1:24" x14ac:dyDescent="0.2">
      <c r="A42" s="22">
        <v>1</v>
      </c>
      <c r="B42" s="23" t="s">
        <v>45</v>
      </c>
      <c r="C42" s="24">
        <v>42748</v>
      </c>
      <c r="D42" s="25">
        <v>0.5625</v>
      </c>
      <c r="E42" s="24">
        <v>42760</v>
      </c>
      <c r="F42" s="25">
        <v>0.4777777777777778</v>
      </c>
      <c r="G42" s="50">
        <f t="shared" si="7"/>
        <v>285.96666666667443</v>
      </c>
      <c r="H42" s="51">
        <v>27.7</v>
      </c>
      <c r="I42" s="77">
        <v>11.4399739225251</v>
      </c>
      <c r="J42" s="77">
        <v>3.3101219482849702</v>
      </c>
      <c r="K42" s="26">
        <v>10.707873438655399</v>
      </c>
      <c r="L42" s="26">
        <v>3.0530665544682098</v>
      </c>
      <c r="M42" s="42">
        <f t="shared" si="17"/>
        <v>21.26470033871475</v>
      </c>
      <c r="N42" s="43">
        <f t="shared" si="18"/>
        <v>6.1528769026552039</v>
      </c>
      <c r="O42" s="42">
        <f>K42*12.157*46/(273.15+H42)</f>
        <v>19.903867043748548</v>
      </c>
      <c r="P42" s="43">
        <f>L42*12.157*46/(273.15+H42)</f>
        <v>5.6750606106791475</v>
      </c>
      <c r="Q42" s="64"/>
    </row>
    <row r="43" spans="1:24" x14ac:dyDescent="0.2">
      <c r="A43" s="22">
        <v>1</v>
      </c>
      <c r="B43" s="23" t="s">
        <v>46</v>
      </c>
      <c r="C43" s="24">
        <v>42748</v>
      </c>
      <c r="D43" s="25">
        <v>0.5625</v>
      </c>
      <c r="E43" s="24">
        <v>42760</v>
      </c>
      <c r="F43" s="25">
        <v>0.4777777777777778</v>
      </c>
      <c r="G43" s="50">
        <f t="shared" si="7"/>
        <v>285.96666666667443</v>
      </c>
      <c r="H43" s="51">
        <v>27.7</v>
      </c>
      <c r="I43" s="77">
        <v>10.952999291679699</v>
      </c>
      <c r="J43" s="77">
        <v>3.0257384062883501</v>
      </c>
      <c r="K43" s="26">
        <v>10.22089880781</v>
      </c>
      <c r="L43" s="26">
        <v>2.7686830124715902</v>
      </c>
      <c r="M43" s="42">
        <f t="shared" si="17"/>
        <v>20.359508625200949</v>
      </c>
      <c r="N43" s="43">
        <f t="shared" si="18"/>
        <v>5.6242628653527804</v>
      </c>
      <c r="O43" s="42">
        <f>K43*12.157*46/(273.15+H43)</f>
        <v>18.998675330234747</v>
      </c>
      <c r="P43" s="43">
        <f>L43*12.157*46/(273.15+H43)</f>
        <v>5.1464465733767248</v>
      </c>
      <c r="Q43" s="64"/>
    </row>
    <row r="44" spans="1:24" x14ac:dyDescent="0.2">
      <c r="A44" s="17">
        <v>1</v>
      </c>
      <c r="B44" s="18" t="s">
        <v>47</v>
      </c>
      <c r="C44" s="19">
        <v>42748</v>
      </c>
      <c r="D44" s="20">
        <v>0.52847222222222223</v>
      </c>
      <c r="E44" s="19">
        <v>42760</v>
      </c>
      <c r="F44" s="66">
        <v>0.50416666666666665</v>
      </c>
      <c r="G44" s="67">
        <f t="shared" si="7"/>
        <v>287.41666666668607</v>
      </c>
      <c r="H44" s="68">
        <v>27.7</v>
      </c>
      <c r="I44" s="78">
        <v>27.768174647043899</v>
      </c>
      <c r="J44" s="78">
        <v>8.1927710305580401</v>
      </c>
      <c r="K44" s="69">
        <v>27.039767566601199</v>
      </c>
      <c r="L44" s="69">
        <v>7.9370124659243499</v>
      </c>
      <c r="M44" s="44">
        <f t="shared" si="17"/>
        <v>51.615669478042832</v>
      </c>
      <c r="N44" s="45">
        <f t="shared" si="18"/>
        <v>15.228777800401291</v>
      </c>
      <c r="O44" s="44">
        <f t="shared" ref="O44:O46" si="21">K44*12.157*46/(273.15+H44)</f>
        <v>50.261701506165387</v>
      </c>
      <c r="P44" s="45">
        <f t="shared" ref="P44:P46" si="22">L44*12.157*46/(273.15+H44)</f>
        <v>14.753372063218039</v>
      </c>
      <c r="Q44" s="64"/>
      <c r="R44" s="13">
        <f>ABS(K44-MEDIAN(K44:K46))</f>
        <v>3.0664279803496974</v>
      </c>
      <c r="S44" s="13">
        <f>ABS(K45-MEDIAN(K44:K46))</f>
        <v>1.2521563083939</v>
      </c>
      <c r="T44" s="13">
        <f>ABS(K46-MEDIAN(K44:K46))</f>
        <v>0</v>
      </c>
      <c r="V44" s="13">
        <f>ABS(L44-MEDIAN(L44:L46))</f>
        <v>0</v>
      </c>
      <c r="W44" s="13">
        <f>ABS(L45-MEDIAN(L44:L46))</f>
        <v>1.3127806722891702</v>
      </c>
      <c r="X44" s="13">
        <f>ABS(L46-MEDIAN(L44:L46))</f>
        <v>5.0981773681139764E-2</v>
      </c>
    </row>
    <row r="45" spans="1:24" x14ac:dyDescent="0.2">
      <c r="A45" s="17">
        <v>1</v>
      </c>
      <c r="B45" s="18" t="s">
        <v>48</v>
      </c>
      <c r="C45" s="19">
        <v>42748</v>
      </c>
      <c r="D45" s="20">
        <v>0.52847222222222223</v>
      </c>
      <c r="E45" s="19">
        <v>42760</v>
      </c>
      <c r="F45" s="66">
        <v>0.50416666666666665</v>
      </c>
      <c r="G45" s="67">
        <f t="shared" si="7"/>
        <v>287.41666666668607</v>
      </c>
      <c r="H45" s="68">
        <v>27.7</v>
      </c>
      <c r="I45" s="78">
        <v>23.449590358300402</v>
      </c>
      <c r="J45" s="78">
        <v>6.87999035826887</v>
      </c>
      <c r="K45" s="69">
        <v>22.721183277857602</v>
      </c>
      <c r="L45" s="69">
        <v>6.6242317936351798</v>
      </c>
      <c r="M45" s="44">
        <f t="shared" si="17"/>
        <v>43.588256005815083</v>
      </c>
      <c r="N45" s="45">
        <f t="shared" si="18"/>
        <v>12.788572272334498</v>
      </c>
      <c r="O45" s="44">
        <f t="shared" si="21"/>
        <v>42.23428803393746</v>
      </c>
      <c r="P45" s="45">
        <f t="shared" si="22"/>
        <v>12.313166535151248</v>
      </c>
      <c r="Q45" s="64"/>
    </row>
    <row r="46" spans="1:24" x14ac:dyDescent="0.2">
      <c r="A46" s="17">
        <v>1</v>
      </c>
      <c r="B46" s="18" t="s">
        <v>49</v>
      </c>
      <c r="C46" s="19">
        <v>42748</v>
      </c>
      <c r="D46" s="20">
        <v>0.52847222222222223</v>
      </c>
      <c r="E46" s="19">
        <v>42760</v>
      </c>
      <c r="F46" s="66">
        <v>0.50416666666666665</v>
      </c>
      <c r="G46" s="67">
        <f t="shared" si="7"/>
        <v>287.41666666668607</v>
      </c>
      <c r="H46" s="68">
        <v>27.7</v>
      </c>
      <c r="I46" s="78">
        <v>24.701746666694302</v>
      </c>
      <c r="J46" s="78">
        <v>8.2437528042391701</v>
      </c>
      <c r="K46" s="69">
        <v>23.973339586251502</v>
      </c>
      <c r="L46" s="69">
        <v>7.9879942396054897</v>
      </c>
      <c r="M46" s="44">
        <f t="shared" si="17"/>
        <v>45.91577255922261</v>
      </c>
      <c r="N46" s="45">
        <f t="shared" si="18"/>
        <v>15.323543063627181</v>
      </c>
      <c r="O46" s="44">
        <f t="shared" si="21"/>
        <v>44.561804587344987</v>
      </c>
      <c r="P46" s="45">
        <f t="shared" si="22"/>
        <v>14.84813732644395</v>
      </c>
      <c r="Q46" s="64"/>
    </row>
    <row r="47" spans="1:24" x14ac:dyDescent="0.2">
      <c r="A47" s="22">
        <v>1</v>
      </c>
      <c r="B47" s="23" t="s">
        <v>50</v>
      </c>
      <c r="C47" s="24">
        <v>42748</v>
      </c>
      <c r="D47" s="25">
        <v>0.53055555555555556</v>
      </c>
      <c r="E47" s="24">
        <v>42760</v>
      </c>
      <c r="F47" s="25">
        <v>0.49791666666666662</v>
      </c>
      <c r="G47" s="50">
        <f t="shared" si="7"/>
        <v>287.21666666673264</v>
      </c>
      <c r="H47" s="51">
        <v>27.7</v>
      </c>
      <c r="I47" s="77">
        <v>30.0560917483383</v>
      </c>
      <c r="J47" s="77">
        <v>8.7239538965589105</v>
      </c>
      <c r="K47" s="26">
        <v>29.3271774500597</v>
      </c>
      <c r="L47" s="26">
        <v>8.4680172374103506</v>
      </c>
      <c r="M47" s="42">
        <f t="shared" si="17"/>
        <v>55.868465147712278</v>
      </c>
      <c r="N47" s="43">
        <f t="shared" si="18"/>
        <v>16.216144078249851</v>
      </c>
      <c r="O47" s="42">
        <f>K47*12.157*46/(273.15+H47)</f>
        <v>54.513554355915865</v>
      </c>
      <c r="P47" s="43">
        <f>L47*12.157*46/(273.15+H47)</f>
        <v>15.740407297786575</v>
      </c>
      <c r="Q47" s="64"/>
      <c r="R47" s="13">
        <f>ABS(K47-MEDIAN(K47:K49))</f>
        <v>0.77457803310710105</v>
      </c>
      <c r="S47" s="13">
        <f>ABS(K48-MEDIAN(K47:K49))</f>
        <v>0</v>
      </c>
      <c r="T47" s="13">
        <f>ABS(K49-MEDIAN(K47:K49))</f>
        <v>1.5556923273003989</v>
      </c>
      <c r="V47" s="13">
        <f>ABS(L47-MEDIAN(L47:L49))</f>
        <v>0.56629174416260053</v>
      </c>
      <c r="W47" s="13">
        <f>ABS(L48-MEDIAN(L47:L49))</f>
        <v>2.0406909699549836E-2</v>
      </c>
      <c r="X47" s="13">
        <f>ABS(L49-MEDIAN(L47:L49))</f>
        <v>0</v>
      </c>
    </row>
    <row r="48" spans="1:24" x14ac:dyDescent="0.2">
      <c r="A48" s="22">
        <v>1</v>
      </c>
      <c r="B48" s="23" t="s">
        <v>51</v>
      </c>
      <c r="C48" s="24">
        <v>42748</v>
      </c>
      <c r="D48" s="25">
        <v>0.53055555555555556</v>
      </c>
      <c r="E48" s="24">
        <v>42760</v>
      </c>
      <c r="F48" s="25">
        <v>0.49791666666666662</v>
      </c>
      <c r="G48" s="50">
        <f t="shared" si="7"/>
        <v>287.21666666673264</v>
      </c>
      <c r="H48" s="51">
        <v>27.7</v>
      </c>
      <c r="I48" s="77">
        <v>29.2815137152311</v>
      </c>
      <c r="J48" s="77">
        <v>8.1372552426967601</v>
      </c>
      <c r="K48" s="26">
        <v>28.552599416952599</v>
      </c>
      <c r="L48" s="26">
        <v>7.8813185835482003</v>
      </c>
      <c r="M48" s="42">
        <f t="shared" si="17"/>
        <v>54.428674299016016</v>
      </c>
      <c r="N48" s="43">
        <f t="shared" si="18"/>
        <v>15.125584681174566</v>
      </c>
      <c r="O48" s="42">
        <f>K48*12.157*46/(273.15+H48)</f>
        <v>53.073763507219766</v>
      </c>
      <c r="P48" s="43">
        <f>L48*12.157*46/(273.15+H48)</f>
        <v>14.64984790071129</v>
      </c>
      <c r="Q48" s="64"/>
    </row>
    <row r="49" spans="1:48" x14ac:dyDescent="0.2">
      <c r="A49" s="22">
        <v>1</v>
      </c>
      <c r="B49" s="23" t="s">
        <v>52</v>
      </c>
      <c r="C49" s="24">
        <v>42748</v>
      </c>
      <c r="D49" s="25">
        <v>0.53055555555555556</v>
      </c>
      <c r="E49" s="24">
        <v>42760</v>
      </c>
      <c r="F49" s="25">
        <v>0.49791666666666662</v>
      </c>
      <c r="G49" s="50">
        <f t="shared" si="7"/>
        <v>287.21666666673264</v>
      </c>
      <c r="H49" s="51">
        <v>27.7</v>
      </c>
      <c r="I49" s="77">
        <v>27.725821387930701</v>
      </c>
      <c r="J49" s="77">
        <v>8.1576621523963109</v>
      </c>
      <c r="K49" s="26">
        <v>26.996907089652201</v>
      </c>
      <c r="L49" s="26">
        <v>7.9017254932477501</v>
      </c>
      <c r="M49" s="42">
        <f t="shared" si="17"/>
        <v>51.536942955630323</v>
      </c>
      <c r="N49" s="43">
        <f t="shared" si="18"/>
        <v>15.163517181942398</v>
      </c>
      <c r="O49" s="42">
        <f>K49*12.157*46/(273.15+H49)</f>
        <v>50.182032163834087</v>
      </c>
      <c r="P49" s="43">
        <f>L49*12.157*46/(273.15+H49)</f>
        <v>14.687780401479122</v>
      </c>
      <c r="Q49" s="64"/>
    </row>
    <row r="50" spans="1:48" x14ac:dyDescent="0.2">
      <c r="A50" s="17">
        <v>1</v>
      </c>
      <c r="B50" s="18" t="s">
        <v>53</v>
      </c>
      <c r="C50" s="19">
        <v>42748</v>
      </c>
      <c r="D50" s="20">
        <v>0.49444444444444446</v>
      </c>
      <c r="E50" s="19">
        <v>42760</v>
      </c>
      <c r="F50" s="66">
        <v>0.49236111111111108</v>
      </c>
      <c r="G50" s="67">
        <f t="shared" si="7"/>
        <v>287.95000000001164</v>
      </c>
      <c r="H50" s="68">
        <v>27.7</v>
      </c>
      <c r="I50" s="78">
        <v>27.584208318064899</v>
      </c>
      <c r="J50" s="78">
        <v>8.2819156584242606</v>
      </c>
      <c r="K50" s="69">
        <v>26.857150373847901</v>
      </c>
      <c r="L50" s="69">
        <v>8.0266308030033002</v>
      </c>
      <c r="M50" s="44">
        <f t="shared" si="17"/>
        <v>51.273711630529803</v>
      </c>
      <c r="N50" s="45">
        <f t="shared" si="18"/>
        <v>15.39448043322364</v>
      </c>
      <c r="O50" s="44">
        <f t="shared" ref="O50:O52" si="23">K50*12.157*46/(273.15+H50)</f>
        <v>49.922251442127212</v>
      </c>
      <c r="P50" s="45">
        <f t="shared" ref="P50:P52" si="24">L50*12.157*46/(273.15+H50)</f>
        <v>14.919955229905641</v>
      </c>
      <c r="Q50" s="64"/>
      <c r="R50" s="13">
        <f>ABS(K50-MEDIAN(K50:K52))</f>
        <v>0.38217496729260247</v>
      </c>
      <c r="S50" s="13">
        <f>ABS(K51-MEDIAN(K50:K52))</f>
        <v>0.69250311644009699</v>
      </c>
      <c r="T50" s="13">
        <f>ABS(K52-MEDIAN(K50:K52))</f>
        <v>0</v>
      </c>
      <c r="V50" s="13">
        <f>ABS(L50-MEDIAN(L50:L52))</f>
        <v>0.13230710114841049</v>
      </c>
      <c r="W50" s="13">
        <f>ABS(L51-MEDIAN(L50:L52))</f>
        <v>0.55976081255094012</v>
      </c>
      <c r="X50" s="13">
        <f>ABS(L52-MEDIAN(L50:L52))</f>
        <v>0</v>
      </c>
    </row>
    <row r="51" spans="1:48" x14ac:dyDescent="0.2">
      <c r="A51" s="17">
        <v>1</v>
      </c>
      <c r="B51" s="18" t="s">
        <v>54</v>
      </c>
      <c r="C51" s="19">
        <v>42748</v>
      </c>
      <c r="D51" s="20">
        <v>0.49444444444444446</v>
      </c>
      <c r="E51" s="19">
        <v>42760</v>
      </c>
      <c r="F51" s="66">
        <v>0.49236111111111108</v>
      </c>
      <c r="G51" s="67">
        <f t="shared" si="7"/>
        <v>287.95000000001164</v>
      </c>
      <c r="H51" s="68">
        <v>27.7</v>
      </c>
      <c r="I51" s="78">
        <v>26.5095302343322</v>
      </c>
      <c r="J51" s="78">
        <v>7.58984774472491</v>
      </c>
      <c r="K51" s="69">
        <v>25.782472290115201</v>
      </c>
      <c r="L51" s="69">
        <v>7.3345628893039496</v>
      </c>
      <c r="M51" s="44">
        <f t="shared" si="17"/>
        <v>49.276092792766235</v>
      </c>
      <c r="N51" s="45">
        <f t="shared" si="18"/>
        <v>14.10805994848115</v>
      </c>
      <c r="O51" s="44">
        <f t="shared" si="23"/>
        <v>47.924632604363651</v>
      </c>
      <c r="P51" s="45">
        <f t="shared" si="24"/>
        <v>13.63353474516315</v>
      </c>
      <c r="Q51" s="64"/>
    </row>
    <row r="52" spans="1:48" x14ac:dyDescent="0.2">
      <c r="A52" s="17">
        <v>1</v>
      </c>
      <c r="B52" s="18" t="s">
        <v>55</v>
      </c>
      <c r="C52" s="19">
        <v>42748</v>
      </c>
      <c r="D52" s="20">
        <v>0.49444444444444446</v>
      </c>
      <c r="E52" s="19">
        <v>42760</v>
      </c>
      <c r="F52" s="66">
        <v>0.49236111111111108</v>
      </c>
      <c r="G52" s="67">
        <f t="shared" si="7"/>
        <v>287.95000000001164</v>
      </c>
      <c r="H52" s="68">
        <v>27.7</v>
      </c>
      <c r="I52" s="78">
        <v>27.202033350772201</v>
      </c>
      <c r="J52" s="78">
        <v>8.1496085572758599</v>
      </c>
      <c r="K52" s="69">
        <v>26.474975406555298</v>
      </c>
      <c r="L52" s="69">
        <v>7.8943237018548897</v>
      </c>
      <c r="M52" s="44">
        <f t="shared" si="17"/>
        <v>50.563322235285142</v>
      </c>
      <c r="N52" s="45">
        <f t="shared" si="18"/>
        <v>15.148547105258174</v>
      </c>
      <c r="O52" s="44">
        <f t="shared" si="23"/>
        <v>49.211862046882729</v>
      </c>
      <c r="P52" s="45">
        <f t="shared" si="24"/>
        <v>14.674021901940154</v>
      </c>
      <c r="Q52" s="64"/>
    </row>
    <row r="53" spans="1:48" x14ac:dyDescent="0.2">
      <c r="A53" s="22">
        <v>1</v>
      </c>
      <c r="B53" s="23" t="s">
        <v>56</v>
      </c>
      <c r="C53" s="24">
        <v>42748</v>
      </c>
      <c r="D53" s="25">
        <v>0.46875</v>
      </c>
      <c r="E53" s="24">
        <v>42760</v>
      </c>
      <c r="F53" s="25">
        <v>0.45694444444444443</v>
      </c>
      <c r="G53" s="50">
        <f t="shared" si="7"/>
        <v>287.71666666661622</v>
      </c>
      <c r="H53" s="51">
        <v>27.7</v>
      </c>
      <c r="I53" s="77">
        <v>14.3034091115808</v>
      </c>
      <c r="J53" s="77">
        <v>5.1208722754479004</v>
      </c>
      <c r="K53" s="26">
        <v>13.5757615357111</v>
      </c>
      <c r="L53" s="26">
        <v>4.8653803883420101</v>
      </c>
      <c r="M53" s="42">
        <f t="shared" si="17"/>
        <v>26.587272894121455</v>
      </c>
      <c r="N53" s="43">
        <f t="shared" si="18"/>
        <v>9.5187117687237031</v>
      </c>
      <c r="O53" s="42">
        <f>K53*12.157*46/(273.15+H53)</f>
        <v>25.234716694443854</v>
      </c>
      <c r="P53" s="43">
        <f>L53*12.157*46/(273.15+H53)</f>
        <v>9.0438017335196808</v>
      </c>
      <c r="Q53" s="64"/>
      <c r="R53" s="13">
        <f>ABS(K53-MEDIAN(K53:K55))</f>
        <v>0</v>
      </c>
      <c r="S53" s="13">
        <f>ABS(K54-MEDIAN(K53:K55))</f>
        <v>2.4338721457199952E-2</v>
      </c>
      <c r="T53" s="13">
        <f>ABS(K55-MEDIAN(K53:K55))</f>
        <v>0.37875994369110089</v>
      </c>
      <c r="V53" s="13">
        <f>ABS(L53-MEDIAN(L53:L55))</f>
        <v>0.72573276902171013</v>
      </c>
      <c r="W53" s="13">
        <f>ABS(L54-MEDIAN(L53:L55))</f>
        <v>0.65188627673528021</v>
      </c>
      <c r="X53" s="13">
        <f>ABS(L55-MEDIAN(L53:L55))</f>
        <v>0</v>
      </c>
    </row>
    <row r="54" spans="1:48" x14ac:dyDescent="0.2">
      <c r="A54" s="22">
        <v>1</v>
      </c>
      <c r="B54" s="23" t="s">
        <v>57</v>
      </c>
      <c r="C54" s="24">
        <v>42748</v>
      </c>
      <c r="D54" s="25">
        <v>0.46875</v>
      </c>
      <c r="E54" s="24">
        <v>42760</v>
      </c>
      <c r="F54" s="25">
        <v>0.45694444444444443</v>
      </c>
      <c r="G54" s="50">
        <f t="shared" si="7"/>
        <v>287.71666666661622</v>
      </c>
      <c r="H54" s="51">
        <v>27.7</v>
      </c>
      <c r="I54" s="77">
        <v>14.327747833038</v>
      </c>
      <c r="J54" s="77">
        <v>3.7432532296908998</v>
      </c>
      <c r="K54" s="26">
        <v>13.6001002571683</v>
      </c>
      <c r="L54" s="26">
        <v>3.4877613425850198</v>
      </c>
      <c r="M54" s="42">
        <f t="shared" si="17"/>
        <v>26.6325138729838</v>
      </c>
      <c r="N54" s="43">
        <f t="shared" si="18"/>
        <v>6.9579842367100042</v>
      </c>
      <c r="O54" s="42">
        <f>K54*12.157*46/(273.15+H54)</f>
        <v>25.279957673306207</v>
      </c>
      <c r="P54" s="43">
        <f>L54*12.157*46/(273.15+H54)</f>
        <v>6.4830742015059997</v>
      </c>
      <c r="Q54" s="64"/>
    </row>
    <row r="55" spans="1:48" ht="12.75" thickBot="1" x14ac:dyDescent="0.25">
      <c r="A55" s="22">
        <v>1</v>
      </c>
      <c r="B55" s="23" t="s">
        <v>58</v>
      </c>
      <c r="C55" s="24">
        <v>42748</v>
      </c>
      <c r="D55" s="25">
        <v>0.46875</v>
      </c>
      <c r="E55" s="24">
        <v>42760</v>
      </c>
      <c r="F55" s="25">
        <v>0.45694444444444443</v>
      </c>
      <c r="G55" s="50">
        <f t="shared" si="7"/>
        <v>287.71666666661622</v>
      </c>
      <c r="H55" s="51">
        <v>27.7</v>
      </c>
      <c r="I55" s="77">
        <v>13.924649167889701</v>
      </c>
      <c r="J55" s="77">
        <v>4.3951395064261902</v>
      </c>
      <c r="K55" s="26">
        <v>13.197001592019999</v>
      </c>
      <c r="L55" s="26">
        <v>4.1396476193203</v>
      </c>
      <c r="M55" s="42">
        <f t="shared" si="17"/>
        <v>25.883231367676963</v>
      </c>
      <c r="N55" s="43">
        <f t="shared" si="18"/>
        <v>8.1697148248717539</v>
      </c>
      <c r="O55" s="48">
        <f>K55*12.157*46/(273.15+H55)</f>
        <v>24.530675167999366</v>
      </c>
      <c r="P55" s="49">
        <f>L55*12.157*46/(273.15+H55)</f>
        <v>7.6948047896677325</v>
      </c>
      <c r="Q55" s="64"/>
    </row>
    <row r="56" spans="1:48" x14ac:dyDescent="0.2">
      <c r="A56" s="71" t="s">
        <v>59</v>
      </c>
      <c r="B56" s="72"/>
      <c r="C56" s="73">
        <v>42748</v>
      </c>
      <c r="D56" s="74">
        <v>0.33333333333333331</v>
      </c>
      <c r="E56" s="73">
        <v>42760</v>
      </c>
      <c r="F56" s="74">
        <v>0.625</v>
      </c>
      <c r="G56" s="75">
        <f t="shared" si="7"/>
        <v>294.99999999994179</v>
      </c>
      <c r="H56" s="76">
        <v>27.7</v>
      </c>
      <c r="I56" s="98">
        <f>'Round 1 raw'!$F$53</f>
        <v>0.46593497744476314</v>
      </c>
      <c r="J56" s="98">
        <f>'Round 1 raw'!$C$53</f>
        <v>0.22934329427925904</v>
      </c>
      <c r="K56" s="79"/>
      <c r="L56" s="79"/>
      <c r="M56" s="99">
        <f>I56*12.157*46/(273.15+H56)</f>
        <v>0.86608306450595118</v>
      </c>
      <c r="N56" s="100">
        <f t="shared" si="18"/>
        <v>0.42630485528813628</v>
      </c>
      <c r="O56" s="79"/>
      <c r="P56" s="79"/>
      <c r="Q56" s="64"/>
      <c r="R56" s="79"/>
      <c r="S56" s="79"/>
      <c r="T56" s="79"/>
      <c r="U56" s="79"/>
      <c r="V56" s="79"/>
      <c r="W56" s="79"/>
      <c r="X56" s="79"/>
    </row>
    <row r="57" spans="1:48" x14ac:dyDescent="0.2">
      <c r="A57" s="71" t="s">
        <v>60</v>
      </c>
      <c r="B57" s="72"/>
      <c r="C57" s="73">
        <v>42748</v>
      </c>
      <c r="D57" s="74">
        <v>0.33333333333333331</v>
      </c>
      <c r="E57" s="73">
        <v>42760</v>
      </c>
      <c r="F57" s="74">
        <v>0.625</v>
      </c>
      <c r="G57" s="75">
        <f t="shared" si="7"/>
        <v>294.99999999994179</v>
      </c>
      <c r="H57" s="76">
        <v>27.7</v>
      </c>
      <c r="I57" s="98">
        <f>'Round 1 raw'!$F$54</f>
        <v>0.50416753087175847</v>
      </c>
      <c r="J57" s="98">
        <f>'Round 1 raw'!$C$54</f>
        <v>0.21660200015263353</v>
      </c>
      <c r="K57" s="79"/>
      <c r="L57" s="79"/>
      <c r="M57" s="101">
        <f t="shared" si="17"/>
        <v>0.93714999152124501</v>
      </c>
      <c r="N57" s="102">
        <f t="shared" si="18"/>
        <v>0.40262125221657319</v>
      </c>
      <c r="O57" s="79"/>
      <c r="P57" s="79"/>
      <c r="Q57" s="64"/>
      <c r="R57" s="79"/>
      <c r="S57" s="79"/>
      <c r="T57" s="79"/>
      <c r="U57" s="79"/>
      <c r="V57" s="79"/>
      <c r="W57" s="79"/>
      <c r="X57" s="79"/>
    </row>
    <row r="58" spans="1:48" ht="12.75" thickBot="1" x14ac:dyDescent="0.25">
      <c r="A58" s="71" t="s">
        <v>61</v>
      </c>
      <c r="B58" s="72"/>
      <c r="C58" s="73">
        <v>42748</v>
      </c>
      <c r="D58" s="74">
        <v>0.33333333333333331</v>
      </c>
      <c r="E58" s="73">
        <v>42760</v>
      </c>
      <c r="F58" s="74">
        <v>0.625</v>
      </c>
      <c r="G58" s="75">
        <f t="shared" si="7"/>
        <v>294.99999999994179</v>
      </c>
      <c r="H58" s="76">
        <v>27.7</v>
      </c>
      <c r="I58" s="98">
        <f>'Round 1 raw'!$F$55</f>
        <v>1.2166079966613259</v>
      </c>
      <c r="J58" s="98">
        <f>'Round 1 raw'!$C$55</f>
        <v>0.32108061199096266</v>
      </c>
      <c r="K58" s="79"/>
      <c r="L58" s="79"/>
      <c r="M58" s="103">
        <f t="shared" si="17"/>
        <v>2.2614391128766496</v>
      </c>
      <c r="N58" s="104">
        <f t="shared" si="18"/>
        <v>0.59682679740339084</v>
      </c>
      <c r="O58" s="79"/>
      <c r="P58" s="79"/>
      <c r="Q58" s="64"/>
      <c r="R58" s="79"/>
      <c r="S58" s="79"/>
      <c r="T58" s="79"/>
      <c r="U58" s="79"/>
      <c r="V58" s="79"/>
      <c r="W58" s="79"/>
      <c r="X58" s="79"/>
    </row>
    <row r="59" spans="1:48" ht="12.75" thickBot="1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0"/>
      <c r="P59" s="60"/>
      <c r="Q59" s="60"/>
      <c r="R59" s="63"/>
      <c r="S59" s="63"/>
      <c r="T59" s="63"/>
      <c r="U59" s="60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</row>
    <row r="60" spans="1:48" x14ac:dyDescent="0.2">
      <c r="A60" s="22">
        <v>2</v>
      </c>
      <c r="B60" s="23" t="s">
        <v>8</v>
      </c>
      <c r="C60" s="24">
        <v>42766</v>
      </c>
      <c r="D60" s="25">
        <v>0.37152777777777773</v>
      </c>
      <c r="E60" s="24">
        <v>42781</v>
      </c>
      <c r="F60" s="25">
        <v>0.42083333333333334</v>
      </c>
      <c r="G60" s="50">
        <f>((E60+F60)-(C60+D60))*24</f>
        <v>361.18333333317423</v>
      </c>
      <c r="H60" s="51">
        <v>27.4</v>
      </c>
      <c r="I60" s="77">
        <v>28.669021120019401</v>
      </c>
      <c r="J60" s="77">
        <v>8.0206308787760907</v>
      </c>
      <c r="K60" s="108">
        <v>21.9219553525562</v>
      </c>
      <c r="L60" s="108">
        <v>6.4032937811841002</v>
      </c>
      <c r="M60" s="132">
        <f>I60*12.157*46/(273.15+H60)</f>
        <v>53.343361599665585</v>
      </c>
      <c r="N60" s="133">
        <f t="shared" ref="N60:N113" si="25">J60*12.157*46/(273.15+H60)</f>
        <v>14.923684050211024</v>
      </c>
      <c r="O60" s="132">
        <f t="shared" ref="O60:O71" si="26">K60*12.157*46/(273.15+H60)</f>
        <v>40.789351908724619</v>
      </c>
      <c r="P60" s="133">
        <f t="shared" ref="P60:P71" si="27">L60*12.157*46/(273.15+H60)</f>
        <v>11.914366178344155</v>
      </c>
      <c r="R60" s="13">
        <f>ABS(K60-MEDIAN(K60:K62))</f>
        <v>6.107794583899917E-2</v>
      </c>
      <c r="S60" s="13">
        <f>ABS(K61-MEDIAN(K60:K62))</f>
        <v>0</v>
      </c>
      <c r="T60" s="13">
        <f>ABS(K62-MEDIAN(K60:K62))</f>
        <v>0.36310394725930095</v>
      </c>
      <c r="V60" s="13">
        <f>ABS(L60-MEDIAN(L60:L62))</f>
        <v>0.72459904619837978</v>
      </c>
      <c r="W60" s="13">
        <f>ABS(L61-MEDIAN(L60:L62))</f>
        <v>0.76663379749719063</v>
      </c>
      <c r="X60" s="13">
        <f>ABS(L62-MEDIAN(L60:L62))</f>
        <v>0</v>
      </c>
      <c r="Z60" s="28">
        <v>1</v>
      </c>
      <c r="AB60" s="13">
        <f>AVERAGE(M60:M62)</f>
        <v>53.042393399532216</v>
      </c>
      <c r="AC60" s="13">
        <f>STDEV(M60:M62)/(SQRT(COUNT(M60:M62)))</f>
        <v>0.24633979332318762</v>
      </c>
      <c r="AE60" s="13">
        <f>AVERAGE(N60:N62)</f>
        <v>13.5493792300144</v>
      </c>
      <c r="AF60" s="13">
        <f>STDEV(N60:N62)/(SQRT(COUNT(N60:N62)))</f>
        <v>0.80108732036592356</v>
      </c>
      <c r="AH60" s="12">
        <f t="shared" ref="AH60:AH76" si="28">AE60/AB60</f>
        <v>0.25544434105671204</v>
      </c>
      <c r="AM60" s="28">
        <v>1</v>
      </c>
      <c r="AO60" s="13">
        <f t="shared" ref="AO60:AO76" si="29">AB60*$AJ$6</f>
        <v>64.994968018051978</v>
      </c>
      <c r="AP60" s="13"/>
      <c r="AR60" s="13">
        <f t="shared" ref="AR60:AR76" si="30">AE60*$AK$6</f>
        <v>22.722420308593659</v>
      </c>
      <c r="AS60" s="13"/>
      <c r="AU60" s="12">
        <f>AR60/AO60</f>
        <v>0.34960276159044557</v>
      </c>
      <c r="AV60" s="125"/>
    </row>
    <row r="61" spans="1:48" x14ac:dyDescent="0.2">
      <c r="A61" s="22">
        <v>2</v>
      </c>
      <c r="B61" s="23" t="s">
        <v>9</v>
      </c>
      <c r="C61" s="24">
        <v>42766</v>
      </c>
      <c r="D61" s="25">
        <v>0.37152777777777773</v>
      </c>
      <c r="E61" s="24">
        <v>42781</v>
      </c>
      <c r="F61" s="25">
        <v>0.42083333333333334</v>
      </c>
      <c r="G61" s="50">
        <f t="shared" ref="G61:G113" si="31">((E61+F61)-(C61+D61))*24</f>
        <v>361.18333333317423</v>
      </c>
      <c r="H61" s="51">
        <v>27.4</v>
      </c>
      <c r="I61" s="77">
        <v>28.607943174180399</v>
      </c>
      <c r="J61" s="77">
        <v>6.5293980350805096</v>
      </c>
      <c r="K61" s="108">
        <v>21.860877406717201</v>
      </c>
      <c r="L61" s="108">
        <v>4.9120609374885298</v>
      </c>
      <c r="M61" s="42">
        <f t="shared" ref="M61:M113" si="32">I61*12.157*46/(273.15+H61)</f>
        <v>53.229716179509282</v>
      </c>
      <c r="N61" s="43">
        <f t="shared" si="25"/>
        <v>12.149003586670416</v>
      </c>
      <c r="O61" s="42">
        <f t="shared" si="26"/>
        <v>40.675706488568316</v>
      </c>
      <c r="P61" s="43">
        <f t="shared" si="27"/>
        <v>9.1396857148035622</v>
      </c>
      <c r="Z61" s="52">
        <v>2</v>
      </c>
      <c r="AB61" s="13">
        <f>AVERAGE(M63:M65)</f>
        <v>22.524914924487717</v>
      </c>
      <c r="AC61" s="13">
        <f>STDEV(M63:M65)/(SQRT(COUNT(M63:M65)))</f>
        <v>9.4280372191919662E-2</v>
      </c>
      <c r="AE61" s="13">
        <f>AVERAGE(N63:N65)</f>
        <v>6.0830938134278654</v>
      </c>
      <c r="AF61" s="13">
        <f>STDEV(N63:N65)/(SQRT(COUNT(N63:N65)))</f>
        <v>5.5657377554701633E-2</v>
      </c>
      <c r="AH61" s="12">
        <f t="shared" si="28"/>
        <v>0.27006067875598039</v>
      </c>
      <c r="AM61" s="52">
        <v>2</v>
      </c>
      <c r="AO61" s="13">
        <f t="shared" si="29"/>
        <v>27.600679971189457</v>
      </c>
      <c r="AP61" s="13"/>
      <c r="AR61" s="13">
        <f t="shared" si="30"/>
        <v>10.201398311970257</v>
      </c>
      <c r="AS61" s="13"/>
      <c r="AU61" s="12">
        <f>AR61/AO61</f>
        <v>0.36960677500042854</v>
      </c>
      <c r="AV61" s="125"/>
    </row>
    <row r="62" spans="1:48" x14ac:dyDescent="0.2">
      <c r="A62" s="22">
        <v>2</v>
      </c>
      <c r="B62" s="23" t="s">
        <v>10</v>
      </c>
      <c r="C62" s="24">
        <v>42766</v>
      </c>
      <c r="D62" s="25">
        <v>0.37152777777777773</v>
      </c>
      <c r="E62" s="24">
        <v>42781</v>
      </c>
      <c r="F62" s="25">
        <v>0.42083333333333334</v>
      </c>
      <c r="G62" s="50">
        <f t="shared" si="31"/>
        <v>361.18333333317423</v>
      </c>
      <c r="H62" s="51">
        <v>27.4</v>
      </c>
      <c r="I62" s="77">
        <v>28.244839226920998</v>
      </c>
      <c r="J62" s="77">
        <v>7.2960318325777003</v>
      </c>
      <c r="K62" s="108">
        <v>21.4977734594579</v>
      </c>
      <c r="L62" s="108">
        <v>5.6786947349857204</v>
      </c>
      <c r="M62" s="42">
        <f t="shared" si="32"/>
        <v>52.554102419421781</v>
      </c>
      <c r="N62" s="43">
        <f t="shared" si="25"/>
        <v>13.575450053161761</v>
      </c>
      <c r="O62" s="42">
        <f t="shared" si="26"/>
        <v>40.000092728481007</v>
      </c>
      <c r="P62" s="43">
        <f>L62*12.157*46/(273.15+H62)</f>
        <v>10.566132181294909</v>
      </c>
      <c r="Z62" s="10">
        <v>3</v>
      </c>
      <c r="AB62" s="13">
        <f>AVERAGE(M66:M68)</f>
        <v>38.89367772946261</v>
      </c>
      <c r="AC62" s="13">
        <f>STDEV(M66:M68)/(SQRT(COUNT(M66:M68)))</f>
        <v>0.15423955794981467</v>
      </c>
      <c r="AE62" s="13">
        <f>AVERAGE(N66:N68)</f>
        <v>12.310544886228522</v>
      </c>
      <c r="AF62" s="13">
        <f>STDEV(N66:N68)/(SQRT(COUNT(N66:N68)))</f>
        <v>0.42465180147316783</v>
      </c>
      <c r="AH62" s="12">
        <f t="shared" si="28"/>
        <v>0.31651789197870273</v>
      </c>
      <c r="AM62" s="10">
        <v>3</v>
      </c>
      <c r="AO62" s="13">
        <f t="shared" si="29"/>
        <v>47.6579803081272</v>
      </c>
      <c r="AP62" s="13"/>
      <c r="AR62" s="13">
        <f t="shared" si="30"/>
        <v>20.644884934141405</v>
      </c>
      <c r="AS62" s="13"/>
      <c r="AU62" s="12">
        <f t="shared" ref="AU62:AU76" si="33">AR62/AO62</f>
        <v>0.43318841462991658</v>
      </c>
      <c r="AV62" s="125"/>
    </row>
    <row r="63" spans="1:48" x14ac:dyDescent="0.2">
      <c r="A63" s="17">
        <v>2</v>
      </c>
      <c r="B63" s="18" t="s">
        <v>11</v>
      </c>
      <c r="C63" s="65">
        <v>42766</v>
      </c>
      <c r="D63" s="66">
        <v>0.40972222222222227</v>
      </c>
      <c r="E63" s="65">
        <v>42781</v>
      </c>
      <c r="F63" s="66">
        <v>0.49305555555555558</v>
      </c>
      <c r="G63" s="67">
        <f t="shared" si="31"/>
        <v>362.00000000005821</v>
      </c>
      <c r="H63" s="68">
        <v>27.4</v>
      </c>
      <c r="I63" s="78">
        <v>12.0084752146331</v>
      </c>
      <c r="J63" s="78">
        <v>3.2273768178540299</v>
      </c>
      <c r="K63" s="109">
        <v>5.2766307281411402</v>
      </c>
      <c r="L63" s="109">
        <v>1.61368840892702</v>
      </c>
      <c r="M63" s="44">
        <f t="shared" si="32"/>
        <v>22.343714944194154</v>
      </c>
      <c r="N63" s="45">
        <f t="shared" si="25"/>
        <v>6.005057790164587</v>
      </c>
      <c r="O63" s="44">
        <f t="shared" si="26"/>
        <v>9.8180269141658467</v>
      </c>
      <c r="P63" s="45">
        <f t="shared" si="27"/>
        <v>3.0025288950823028</v>
      </c>
      <c r="R63" s="13">
        <f>ABS(K63-MEDIAN(K63:K65))</f>
        <v>0.12179498817816992</v>
      </c>
      <c r="S63" s="13">
        <f>ABS(K64-MEDIAN(K63:K65))</f>
        <v>4.856405590931967E-2</v>
      </c>
      <c r="T63" s="13">
        <f>ABS(K65-MEDIAN(K63:K65))</f>
        <v>0</v>
      </c>
      <c r="V63" s="13">
        <f>ABS(L63-MEDIAN(L63:L65))</f>
        <v>2.5962808559469863E-2</v>
      </c>
      <c r="W63" s="13">
        <f>ABS(L64-MEDIAN(L63:L65))</f>
        <v>7.389414743849021E-2</v>
      </c>
      <c r="X63" s="13">
        <f>ABS(L65-MEDIAN(L63:L65))</f>
        <v>0</v>
      </c>
      <c r="Z63" s="10">
        <v>4</v>
      </c>
      <c r="AB63" s="13">
        <f>AVERAGE(M69:M71)</f>
        <v>34.112287677318783</v>
      </c>
      <c r="AC63" s="13">
        <f>STDEV(M69:M71)/(SQRT(COUNT(M69:M71)))</f>
        <v>1.3899837414830669</v>
      </c>
      <c r="AE63" s="13">
        <f>AVERAGE(N69:N71)</f>
        <v>11.558002112216554</v>
      </c>
      <c r="AF63" s="13">
        <f>STDEV(N69:N71)/(SQRT(COUNT(N69:N71)))</f>
        <v>0.58587379530358952</v>
      </c>
      <c r="AH63" s="12">
        <f t="shared" si="28"/>
        <v>0.3388222514288145</v>
      </c>
      <c r="AM63" s="10">
        <v>4</v>
      </c>
      <c r="AO63" s="13">
        <f t="shared" si="29"/>
        <v>41.79915166930374</v>
      </c>
      <c r="AP63" s="13"/>
      <c r="AR63" s="13">
        <f t="shared" si="30"/>
        <v>19.382864518223297</v>
      </c>
      <c r="AS63" s="13"/>
      <c r="AU63" s="12">
        <f t="shared" si="33"/>
        <v>0.4637143038588889</v>
      </c>
      <c r="AV63" s="125"/>
    </row>
    <row r="64" spans="1:48" x14ac:dyDescent="0.2">
      <c r="A64" s="17">
        <v>2</v>
      </c>
      <c r="B64" s="18" t="s">
        <v>12</v>
      </c>
      <c r="C64" s="65">
        <v>42766</v>
      </c>
      <c r="D64" s="66">
        <v>0.40972222222222227</v>
      </c>
      <c r="E64" s="65">
        <v>42781</v>
      </c>
      <c r="F64" s="66">
        <v>0.49305555555555558</v>
      </c>
      <c r="G64" s="67">
        <f t="shared" si="31"/>
        <v>362.00000000005821</v>
      </c>
      <c r="H64" s="68">
        <v>27.4</v>
      </c>
      <c r="I64" s="78">
        <v>12.178834258720601</v>
      </c>
      <c r="J64" s="78">
        <v>3.3272337738519902</v>
      </c>
      <c r="K64" s="109">
        <v>5.4469897722286298</v>
      </c>
      <c r="L64" s="109">
        <v>1.7135453649249801</v>
      </c>
      <c r="M64" s="44">
        <f t="shared" si="32"/>
        <v>22.660695564233084</v>
      </c>
      <c r="N64" s="45">
        <f t="shared" si="25"/>
        <v>6.1908578455533458</v>
      </c>
      <c r="O64" s="44">
        <f t="shared" si="26"/>
        <v>10.135007534204755</v>
      </c>
      <c r="P64" s="45">
        <f t="shared" si="27"/>
        <v>3.1883289504710612</v>
      </c>
      <c r="Z64" s="10">
        <v>5</v>
      </c>
      <c r="AB64" s="35">
        <f>AVERAGE(M72:M73)</f>
        <v>73.315812991315113</v>
      </c>
      <c r="AC64" s="35">
        <f>STDEV(M72:M73)/(SQRT(COUNT(M72:M73)))</f>
        <v>2.0936283749416655</v>
      </c>
      <c r="AE64" s="13">
        <f>AVERAGE(N72:N74)</f>
        <v>23.085740699062995</v>
      </c>
      <c r="AF64" s="13">
        <f>STDEV(N72:N74)/(SQRT(COUNT(N72:N74)))</f>
        <v>1.4201331375985893</v>
      </c>
      <c r="AH64" s="12">
        <f>AE64/AB64</f>
        <v>0.31488078433772126</v>
      </c>
      <c r="AM64" s="10">
        <v>5</v>
      </c>
      <c r="AO64" s="13">
        <f t="shared" si="29"/>
        <v>89.836800626534867</v>
      </c>
      <c r="AP64" s="35"/>
      <c r="AR64" s="13">
        <f t="shared" si="30"/>
        <v>38.714976855715229</v>
      </c>
      <c r="AS64" s="35"/>
      <c r="AU64" s="12">
        <f t="shared" si="33"/>
        <v>0.43094785862487722</v>
      </c>
      <c r="AV64" s="128"/>
    </row>
    <row r="65" spans="1:48" x14ac:dyDescent="0.2">
      <c r="A65" s="17">
        <v>2</v>
      </c>
      <c r="B65" s="18" t="s">
        <v>13</v>
      </c>
      <c r="C65" s="65">
        <v>42766</v>
      </c>
      <c r="D65" s="66">
        <v>0.40972222222222227</v>
      </c>
      <c r="E65" s="65">
        <v>42781</v>
      </c>
      <c r="F65" s="66">
        <v>0.49305555555555558</v>
      </c>
      <c r="G65" s="67">
        <f t="shared" si="31"/>
        <v>362.00000000005821</v>
      </c>
      <c r="H65" s="68">
        <v>27.4</v>
      </c>
      <c r="I65" s="78">
        <v>12.1302702028113</v>
      </c>
      <c r="J65" s="78">
        <v>3.2533396264135002</v>
      </c>
      <c r="K65" s="109">
        <v>5.3984257163193101</v>
      </c>
      <c r="L65" s="109">
        <v>1.6396512174864899</v>
      </c>
      <c r="M65" s="44">
        <f t="shared" si="32"/>
        <v>22.57033426503591</v>
      </c>
      <c r="N65" s="45">
        <f t="shared" si="25"/>
        <v>6.0533658045656642</v>
      </c>
      <c r="O65" s="44">
        <f t="shared" si="26"/>
        <v>10.044646235007546</v>
      </c>
      <c r="P65" s="45">
        <f t="shared" si="27"/>
        <v>3.0508369094833809</v>
      </c>
      <c r="Z65" s="10">
        <v>6</v>
      </c>
      <c r="AB65" s="13">
        <f>AVERAGE(M75:M77)</f>
        <v>56.603944685159611</v>
      </c>
      <c r="AC65" s="13">
        <f>STDEV(M75:M77)/(SQRT(COUNT(M75:M77)))</f>
        <v>3.3450642238102914</v>
      </c>
      <c r="AE65" s="13">
        <f>AVERAGE(N75:N77)</f>
        <v>17.314615134037826</v>
      </c>
      <c r="AF65" s="13">
        <f>STDEV(N75:N77)/(SQRT(COUNT(N75:N77)))</f>
        <v>1.6733702754756421</v>
      </c>
      <c r="AH65" s="12">
        <f t="shared" si="28"/>
        <v>0.30589060939735818</v>
      </c>
      <c r="AM65" s="10">
        <v>6</v>
      </c>
      <c r="AO65" s="13">
        <f t="shared" si="29"/>
        <v>69.359079383849533</v>
      </c>
      <c r="AP65" s="13"/>
      <c r="AR65" s="13">
        <f t="shared" si="30"/>
        <v>29.036751859865543</v>
      </c>
      <c r="AS65" s="13"/>
      <c r="AU65" s="12">
        <f t="shared" si="33"/>
        <v>0.41864384760889484</v>
      </c>
      <c r="AV65" s="125"/>
    </row>
    <row r="66" spans="1:48" x14ac:dyDescent="0.2">
      <c r="A66" s="22">
        <v>2</v>
      </c>
      <c r="B66" s="23" t="s">
        <v>14</v>
      </c>
      <c r="C66" s="24">
        <v>42766</v>
      </c>
      <c r="D66" s="25">
        <v>0.38472222222222219</v>
      </c>
      <c r="E66" s="24">
        <v>42781</v>
      </c>
      <c r="F66" s="25">
        <v>0.46875</v>
      </c>
      <c r="G66" s="50">
        <f t="shared" si="31"/>
        <v>362.01666666660458</v>
      </c>
      <c r="H66" s="51">
        <v>27.4</v>
      </c>
      <c r="I66" s="77">
        <v>20.975405257325299</v>
      </c>
      <c r="J66" s="77">
        <v>6.1748698647231697</v>
      </c>
      <c r="K66" s="108">
        <v>14.2438706941535</v>
      </c>
      <c r="L66" s="108">
        <v>4.5612557474216402</v>
      </c>
      <c r="M66" s="42">
        <f t="shared" si="32"/>
        <v>39.028142002368888</v>
      </c>
      <c r="N66" s="43">
        <f t="shared" si="25"/>
        <v>11.489346449809418</v>
      </c>
      <c r="O66" s="42">
        <f t="shared" si="26"/>
        <v>26.503030634922343</v>
      </c>
      <c r="P66" s="43">
        <f t="shared" si="27"/>
        <v>8.4869557863404577</v>
      </c>
      <c r="R66" s="13">
        <f>ABS(K66-MEDIAN(K66:K68))</f>
        <v>0</v>
      </c>
      <c r="S66" s="13">
        <f>ABS(K67-MEDIAN(K66:K68))</f>
        <v>0.23762053140610107</v>
      </c>
      <c r="T66" s="13">
        <f>ABS(K68-MEDIAN(K66:K68))</f>
        <v>2.0819848196300228E-2</v>
      </c>
      <c r="V66" s="13">
        <f>ABS(L66-MEDIAN(L66:L68))</f>
        <v>0.56117025614075988</v>
      </c>
      <c r="W66" s="13">
        <f>ABS(L67-MEDIAN(L66:L68))</f>
        <v>0.20170176466268952</v>
      </c>
      <c r="X66" s="13">
        <f>ABS(L68-MEDIAN(L66:L68))</f>
        <v>0</v>
      </c>
      <c r="Z66" s="10">
        <v>7</v>
      </c>
      <c r="AB66" s="13">
        <f>AVERAGE(M78:M80)</f>
        <v>44.389823658599404</v>
      </c>
      <c r="AC66" s="13">
        <f>STDEV(M78:M80)/(SQRT(COUNT(M78:M80)))</f>
        <v>0.45433939110464483</v>
      </c>
      <c r="AE66" s="13">
        <f>AVERAGE(N78:N80)</f>
        <v>12.9658143407653</v>
      </c>
      <c r="AF66" s="13">
        <f>STDEV(N78:N80)/(SQRT(COUNT(N78:N80)))</f>
        <v>0.57793986947791309</v>
      </c>
      <c r="AH66" s="12">
        <f t="shared" si="28"/>
        <v>0.29208979158117249</v>
      </c>
      <c r="AM66" s="10">
        <v>7</v>
      </c>
      <c r="AO66" s="13">
        <f t="shared" si="29"/>
        <v>54.392627936036519</v>
      </c>
      <c r="AP66" s="13"/>
      <c r="AR66" s="13">
        <f t="shared" si="30"/>
        <v>21.743777193971656</v>
      </c>
      <c r="AS66" s="13"/>
      <c r="AU66" s="12">
        <f t="shared" si="33"/>
        <v>0.39975595993525886</v>
      </c>
      <c r="AV66" s="125"/>
    </row>
    <row r="67" spans="1:48" x14ac:dyDescent="0.2">
      <c r="A67" s="22">
        <v>2</v>
      </c>
      <c r="B67" s="23" t="s">
        <v>15</v>
      </c>
      <c r="C67" s="24">
        <v>42766</v>
      </c>
      <c r="D67" s="25">
        <v>0.38472222222222219</v>
      </c>
      <c r="E67" s="24">
        <v>42781</v>
      </c>
      <c r="F67" s="25">
        <v>0.46875</v>
      </c>
      <c r="G67" s="50">
        <f t="shared" si="31"/>
        <v>362.01666666660458</v>
      </c>
      <c r="H67" s="51">
        <v>27.4</v>
      </c>
      <c r="I67" s="77">
        <v>20.737784725919202</v>
      </c>
      <c r="J67" s="77">
        <v>6.9377418855266102</v>
      </c>
      <c r="K67" s="108">
        <v>14.006250162747399</v>
      </c>
      <c r="L67" s="108">
        <v>5.3241277682250896</v>
      </c>
      <c r="M67" s="42">
        <f t="shared" si="32"/>
        <v>38.586010480778533</v>
      </c>
      <c r="N67" s="43">
        <f t="shared" si="25"/>
        <v>12.908793520904883</v>
      </c>
      <c r="O67" s="42">
        <f t="shared" si="26"/>
        <v>26.060899113331985</v>
      </c>
      <c r="P67" s="43">
        <f t="shared" si="27"/>
        <v>9.9064028574359391</v>
      </c>
      <c r="Z67" s="10">
        <v>8</v>
      </c>
      <c r="AB67" s="13">
        <f>AVERAGE(M81:M83)</f>
        <v>35.441038559975851</v>
      </c>
      <c r="AC67" s="13">
        <f>STDEV(M81:M83)/(SQRT(COUNT(M81:M83)))</f>
        <v>1.6819175166793998</v>
      </c>
      <c r="AE67" s="13">
        <f>AVERAGE(N81:N83)</f>
        <v>14.110124020403745</v>
      </c>
      <c r="AF67" s="13">
        <f>STDEV(N81:N83)/(SQRT(COUNT(N81:N83)))</f>
        <v>0.14143601482470491</v>
      </c>
      <c r="AH67" s="12">
        <f t="shared" si="28"/>
        <v>0.39812952988173833</v>
      </c>
      <c r="AM67" s="10">
        <v>8</v>
      </c>
      <c r="AO67" s="13">
        <f t="shared" si="29"/>
        <v>43.427323318191213</v>
      </c>
      <c r="AP67" s="13"/>
      <c r="AR67" s="13">
        <f t="shared" si="30"/>
        <v>23.662793929907334</v>
      </c>
      <c r="AS67" s="13"/>
      <c r="AU67" s="12">
        <f t="shared" si="33"/>
        <v>0.54488262508215091</v>
      </c>
      <c r="AV67" s="125"/>
    </row>
    <row r="68" spans="1:48" x14ac:dyDescent="0.2">
      <c r="A68" s="22">
        <v>2</v>
      </c>
      <c r="B68" s="23" t="s">
        <v>16</v>
      </c>
      <c r="C68" s="24">
        <v>42766</v>
      </c>
      <c r="D68" s="25">
        <v>0.38472222222222219</v>
      </c>
      <c r="E68" s="24">
        <v>42781</v>
      </c>
      <c r="F68" s="25">
        <v>0.46875</v>
      </c>
      <c r="G68" s="50">
        <f t="shared" si="31"/>
        <v>362.01666666660458</v>
      </c>
      <c r="H68" s="51">
        <v>27.4</v>
      </c>
      <c r="I68" s="77">
        <v>20.996225105521599</v>
      </c>
      <c r="J68" s="77">
        <v>6.7360401208639198</v>
      </c>
      <c r="K68" s="108">
        <v>14.2646905423498</v>
      </c>
      <c r="L68" s="108">
        <v>5.1224260035624001</v>
      </c>
      <c r="M68" s="42">
        <f t="shared" si="32"/>
        <v>39.066880705240401</v>
      </c>
      <c r="N68" s="43">
        <f t="shared" si="25"/>
        <v>12.533494687971265</v>
      </c>
      <c r="O68" s="42">
        <f t="shared" si="26"/>
        <v>26.541769337793848</v>
      </c>
      <c r="P68" s="43">
        <f t="shared" si="27"/>
        <v>9.5311040245023229</v>
      </c>
      <c r="Z68" s="10">
        <v>9</v>
      </c>
      <c r="AB68" s="13">
        <f>AVERAGE(M84:M86)</f>
        <v>96.992046194992</v>
      </c>
      <c r="AC68" s="13">
        <f>STDEV(M84:M86)/(SQRT(COUNT(M84:M86)))</f>
        <v>1.8945163967366507</v>
      </c>
      <c r="AE68" s="13">
        <f>AVERAGE(N84:N86)</f>
        <v>30.860733636543703</v>
      </c>
      <c r="AF68" s="13">
        <f>STDEV(N84:N86)/(SQRT(COUNT(N84:N86)))</f>
        <v>0.49846473828337462</v>
      </c>
      <c r="AH68" s="12">
        <f t="shared" si="28"/>
        <v>0.31817798311524992</v>
      </c>
      <c r="AM68" s="10">
        <v>9</v>
      </c>
      <c r="AO68" s="13">
        <f t="shared" si="29"/>
        <v>118.84823697462565</v>
      </c>
      <c r="AP68" s="13"/>
      <c r="AR68" s="13">
        <f t="shared" si="30"/>
        <v>51.753703901632903</v>
      </c>
      <c r="AS68" s="13"/>
      <c r="AU68" s="12">
        <f t="shared" si="33"/>
        <v>0.43546042599422347</v>
      </c>
      <c r="AV68" s="125"/>
    </row>
    <row r="69" spans="1:48" x14ac:dyDescent="0.2">
      <c r="A69" s="17">
        <v>2</v>
      </c>
      <c r="B69" s="18" t="s">
        <v>17</v>
      </c>
      <c r="C69" s="65">
        <v>42766</v>
      </c>
      <c r="D69" s="66">
        <v>0.38541666666666669</v>
      </c>
      <c r="E69" s="65">
        <v>42781</v>
      </c>
      <c r="F69" s="66">
        <v>0.46875</v>
      </c>
      <c r="G69" s="67">
        <f t="shared" si="31"/>
        <v>362.00000000005821</v>
      </c>
      <c r="H69" s="68">
        <v>27.4</v>
      </c>
      <c r="I69" s="78">
        <v>16.8393749800886</v>
      </c>
      <c r="J69" s="78">
        <v>5.7517606654824398</v>
      </c>
      <c r="K69" s="109">
        <v>10.107530493596601</v>
      </c>
      <c r="L69" s="109">
        <v>4.1380722565554198</v>
      </c>
      <c r="M69" s="44">
        <f t="shared" si="32"/>
        <v>31.332387140625883</v>
      </c>
      <c r="N69" s="45">
        <f t="shared" si="25"/>
        <v>10.702083190392353</v>
      </c>
      <c r="O69" s="44">
        <f t="shared" si="26"/>
        <v>18.806699110597503</v>
      </c>
      <c r="P69" s="45">
        <f t="shared" si="27"/>
        <v>7.6995542953100484</v>
      </c>
      <c r="R69" s="13">
        <f>ABS(K69-MEDIAN(K69:K71))</f>
        <v>2.2320778714865988</v>
      </c>
      <c r="S69" s="13">
        <f>ABS(K70-MEDIAN(K69:K71))</f>
        <v>1.7959264857600132E-2</v>
      </c>
      <c r="T69" s="13">
        <f>ABS(K71-MEDIAN(K69:K71))</f>
        <v>0</v>
      </c>
      <c r="V69" s="13">
        <f>ABS(L69-MEDIAN(L69:L71))</f>
        <v>0.31754512007351021</v>
      </c>
      <c r="W69" s="13">
        <f>ABS(L70-MEDIAN(L69:L71))</f>
        <v>0.74493289174476995</v>
      </c>
      <c r="X69" s="13">
        <f>ABS(L71-MEDIAN(L69:L71))</f>
        <v>0</v>
      </c>
      <c r="Z69" s="10">
        <v>10</v>
      </c>
      <c r="AB69" s="35">
        <f>AVERAGE(M87,M89)</f>
        <v>81.412960561729619</v>
      </c>
      <c r="AC69" s="35">
        <f>STDEV(M87,M89)/(SQRT(COUNT(M87,M89)))</f>
        <v>3.0729183807179723</v>
      </c>
      <c r="AD69" s="110"/>
      <c r="AE69" s="35">
        <f>AVERAGE(N87,N88)</f>
        <v>17.853133486058503</v>
      </c>
      <c r="AF69" s="35">
        <f>STDEV(N87,N88)/(SQRT(COUNT(N87,N88)))</f>
        <v>0.19504515825992816</v>
      </c>
      <c r="AH69" s="12">
        <f t="shared" si="28"/>
        <v>0.21929104853669767</v>
      </c>
      <c r="AM69" s="10">
        <v>10</v>
      </c>
      <c r="AO69" s="13">
        <f t="shared" si="29"/>
        <v>99.758559688432314</v>
      </c>
      <c r="AP69" s="35"/>
      <c r="AR69" s="13">
        <f t="shared" si="30"/>
        <v>29.939851561392757</v>
      </c>
      <c r="AS69" s="35"/>
      <c r="AU69" s="12">
        <f t="shared" si="33"/>
        <v>0.3001231338433657</v>
      </c>
      <c r="AV69" s="128"/>
    </row>
    <row r="70" spans="1:48" x14ac:dyDescent="0.2">
      <c r="A70" s="17">
        <v>2</v>
      </c>
      <c r="B70" s="18" t="s">
        <v>18</v>
      </c>
      <c r="C70" s="65">
        <v>42766</v>
      </c>
      <c r="D70" s="66">
        <v>0.38541666666666669</v>
      </c>
      <c r="E70" s="65">
        <v>42781</v>
      </c>
      <c r="F70" s="66">
        <v>0.46875</v>
      </c>
      <c r="G70" s="67">
        <f t="shared" si="31"/>
        <v>362.00000000005821</v>
      </c>
      <c r="H70" s="68">
        <v>27.4</v>
      </c>
      <c r="I70" s="78">
        <v>19.089412116432801</v>
      </c>
      <c r="J70" s="78">
        <v>6.81423867730072</v>
      </c>
      <c r="K70" s="109">
        <v>12.357567629940799</v>
      </c>
      <c r="L70" s="109">
        <v>5.2005502683736999</v>
      </c>
      <c r="M70" s="44">
        <f t="shared" si="32"/>
        <v>35.518946007572069</v>
      </c>
      <c r="N70" s="45">
        <f t="shared" si="25"/>
        <v>12.678995779728711</v>
      </c>
      <c r="O70" s="44">
        <f t="shared" si="26"/>
        <v>22.993257977543685</v>
      </c>
      <c r="P70" s="45">
        <f t="shared" si="27"/>
        <v>9.6764668846464073</v>
      </c>
      <c r="Z70" s="10">
        <v>11</v>
      </c>
      <c r="AB70" s="13">
        <f>AVERAGE(M90:M92)</f>
        <v>36.705150708069745</v>
      </c>
      <c r="AC70" s="13">
        <f>STDEV(M90:M92)/(SQRT(COUNT(M90:M92)))</f>
        <v>0.86558700963246027</v>
      </c>
      <c r="AE70" s="13">
        <f>AVERAGE(N90:N92)</f>
        <v>12.82571910466786</v>
      </c>
      <c r="AF70" s="13">
        <f>STDEV(N90:N92)/(SQRT(COUNT(N90:N92)))</f>
        <v>0.66992515065659886</v>
      </c>
      <c r="AH70" s="12">
        <f t="shared" si="28"/>
        <v>0.34942559442612736</v>
      </c>
      <c r="AM70" s="10">
        <v>11</v>
      </c>
      <c r="AO70" s="13">
        <f t="shared" si="29"/>
        <v>44.976290538009735</v>
      </c>
      <c r="AP70" s="13"/>
      <c r="AR70" s="13">
        <f t="shared" si="30"/>
        <v>21.508836331826025</v>
      </c>
      <c r="AS70" s="13"/>
      <c r="AU70" s="12">
        <f t="shared" si="33"/>
        <v>0.47822610701184387</v>
      </c>
      <c r="AV70" s="125"/>
    </row>
    <row r="71" spans="1:48" x14ac:dyDescent="0.2">
      <c r="A71" s="17">
        <v>2</v>
      </c>
      <c r="B71" s="18" t="s">
        <v>19</v>
      </c>
      <c r="C71" s="65">
        <v>42766</v>
      </c>
      <c r="D71" s="66">
        <v>0.38541666666666669</v>
      </c>
      <c r="E71" s="65">
        <v>42781</v>
      </c>
      <c r="F71" s="66">
        <v>0.46875</v>
      </c>
      <c r="G71" s="67">
        <f t="shared" si="31"/>
        <v>362.00000000005821</v>
      </c>
      <c r="H71" s="68">
        <v>27.4</v>
      </c>
      <c r="I71" s="78">
        <v>19.071452851575199</v>
      </c>
      <c r="J71" s="78">
        <v>6.06930578555595</v>
      </c>
      <c r="K71" s="109">
        <v>12.339608365083199</v>
      </c>
      <c r="L71" s="109">
        <v>4.45561737662893</v>
      </c>
      <c r="M71" s="44">
        <f t="shared" si="32"/>
        <v>35.485529883758403</v>
      </c>
      <c r="N71" s="45">
        <f t="shared" si="25"/>
        <v>11.292927366528597</v>
      </c>
      <c r="O71" s="44">
        <f t="shared" si="26"/>
        <v>22.959841853730023</v>
      </c>
      <c r="P71" s="45">
        <f t="shared" si="27"/>
        <v>8.290398471446295</v>
      </c>
      <c r="Z71" s="52">
        <v>12</v>
      </c>
      <c r="AB71" s="13">
        <f>AVERAGE(M93:M95)</f>
        <v>23.47808091884907</v>
      </c>
      <c r="AC71" s="13">
        <f>STDEV(M93:M95)/(SQRT(COUNT(M93:M95)))</f>
        <v>0.51185311012970547</v>
      </c>
      <c r="AE71" s="13">
        <f>AVERAGE(N93:N95)</f>
        <v>7.0681491964838905</v>
      </c>
      <c r="AF71" s="13">
        <f>STDEV(N93:N95)/(SQRT(COUNT(N93:N95)))</f>
        <v>0.26662805251738458</v>
      </c>
      <c r="AH71" s="12">
        <f t="shared" si="28"/>
        <v>0.30105310655136719</v>
      </c>
      <c r="AM71" s="52">
        <v>12</v>
      </c>
      <c r="AO71" s="13">
        <f t="shared" si="29"/>
        <v>28.768632421086963</v>
      </c>
      <c r="AP71" s="13"/>
      <c r="AR71" s="13">
        <f t="shared" si="30"/>
        <v>11.853344283890474</v>
      </c>
      <c r="AS71" s="13"/>
      <c r="AU71" s="12">
        <f t="shared" si="33"/>
        <v>0.41202321022399924</v>
      </c>
      <c r="AV71" s="125"/>
    </row>
    <row r="72" spans="1:48" x14ac:dyDescent="0.2">
      <c r="A72" s="22">
        <v>2</v>
      </c>
      <c r="B72" s="23" t="s">
        <v>20</v>
      </c>
      <c r="C72" s="24">
        <v>42766</v>
      </c>
      <c r="D72" s="25">
        <v>0.3756944444444445</v>
      </c>
      <c r="E72" s="24">
        <v>42781</v>
      </c>
      <c r="F72" s="25">
        <v>0.46180555555555558</v>
      </c>
      <c r="G72" s="50">
        <f t="shared" si="31"/>
        <v>362.06666666659294</v>
      </c>
      <c r="H72" s="51">
        <v>27.4</v>
      </c>
      <c r="I72" s="77">
        <v>40.528283226748002</v>
      </c>
      <c r="J72" s="77">
        <v>10.950294305074699</v>
      </c>
      <c r="K72" s="108">
        <v>33.797678262346402</v>
      </c>
      <c r="L72" s="108">
        <v>9.3369030216136295</v>
      </c>
      <c r="M72" s="42">
        <f t="shared" si="32"/>
        <v>75.409441366256772</v>
      </c>
      <c r="N72" s="43">
        <f t="shared" si="25"/>
        <v>20.374797810256148</v>
      </c>
      <c r="O72" s="42">
        <f>K72*12.157*46/(273.15+H72)</f>
        <v>62.886059668028224</v>
      </c>
      <c r="P72" s="43">
        <f>L72*12.157*46/(273.15+H72)</f>
        <v>17.372821765273059</v>
      </c>
      <c r="R72" s="13">
        <f>ABS(K72-MEDIAN(K72:K74))</f>
        <v>0</v>
      </c>
      <c r="S72" s="13">
        <f>ABS(K73-MEDIAN(K72:K74))</f>
        <v>2.2504122087068019</v>
      </c>
      <c r="T72" s="13">
        <f>ABS(K74-MEDIAN(K72:K74))</f>
        <v>5.7011875814952973</v>
      </c>
      <c r="V72" s="13">
        <f>ABS(L72-MEDIAN(L72:L74))</f>
        <v>1.79110393720857</v>
      </c>
      <c r="W72" s="13">
        <f>ABS(L73-MEDIAN(L72:L74))</f>
        <v>0</v>
      </c>
      <c r="X72" s="13">
        <f>ABS(L74-MEDIAN(L72:L74))</f>
        <v>0.78872469921680022</v>
      </c>
      <c r="Z72" s="52">
        <v>13</v>
      </c>
      <c r="AB72" s="13">
        <f>AVERAGE(M96:M98)</f>
        <v>23.803527028832296</v>
      </c>
      <c r="AC72" s="13">
        <f>STDEV(M96:M98)/(SQRT(COUNT(M96:M98)))</f>
        <v>7.6339375597172174E-2</v>
      </c>
      <c r="AE72" s="13">
        <f>AVERAGE(N96:N98)</f>
        <v>7.2534214764186116</v>
      </c>
      <c r="AF72" s="13">
        <f>STDEV(N96:N98)/(SQRT(COUNT(N96:N98)))</f>
        <v>0.39017593572370624</v>
      </c>
      <c r="AH72" s="12">
        <f t="shared" si="28"/>
        <v>0.30472045036152928</v>
      </c>
      <c r="AM72" s="52">
        <v>13</v>
      </c>
      <c r="AO72" s="13">
        <f t="shared" si="29"/>
        <v>29.167414567862142</v>
      </c>
      <c r="AP72" s="13"/>
      <c r="AR72" s="13">
        <f t="shared" si="30"/>
        <v>12.164047419786367</v>
      </c>
      <c r="AS72" s="13"/>
      <c r="AU72" s="12">
        <f t="shared" si="33"/>
        <v>0.41704236045622006</v>
      </c>
      <c r="AV72" s="125"/>
    </row>
    <row r="73" spans="1:48" x14ac:dyDescent="0.2">
      <c r="A73" s="22">
        <v>2</v>
      </c>
      <c r="B73" s="23" t="s">
        <v>21</v>
      </c>
      <c r="C73" s="24">
        <v>42766</v>
      </c>
      <c r="D73" s="25">
        <v>0.3756944444444445</v>
      </c>
      <c r="E73" s="24">
        <v>42781</v>
      </c>
      <c r="F73" s="25">
        <v>0.46180555555555558</v>
      </c>
      <c r="G73" s="50">
        <f t="shared" si="31"/>
        <v>362.06666666659294</v>
      </c>
      <c r="H73" s="51">
        <v>27.4</v>
      </c>
      <c r="I73" s="77">
        <v>38.277871018041203</v>
      </c>
      <c r="J73" s="77">
        <v>12.741398242283299</v>
      </c>
      <c r="K73" s="108">
        <v>31.5472660536396</v>
      </c>
      <c r="L73" s="108">
        <v>11.128006958822199</v>
      </c>
      <c r="M73" s="42">
        <f t="shared" si="32"/>
        <v>71.22218461637344</v>
      </c>
      <c r="N73" s="43">
        <f t="shared" si="25"/>
        <v>23.707437058213785</v>
      </c>
      <c r="O73" s="42">
        <f>K73*12.157*46/(273.15+H73)</f>
        <v>58.698802918144885</v>
      </c>
      <c r="P73" s="43">
        <f>L73*12.157*46/(273.15+H73)</f>
        <v>20.705461013230643</v>
      </c>
      <c r="Z73" s="10">
        <v>14</v>
      </c>
      <c r="AB73" s="13">
        <f>AVERAGE(M99:M101)</f>
        <v>44.694945292680778</v>
      </c>
      <c r="AC73" s="13">
        <f>STDEV(M99:M101)/(SQRT(COUNT(M99:M101)))</f>
        <v>0.29064772346314977</v>
      </c>
      <c r="AE73" s="13">
        <f>AVERAGE(N99:N101)</f>
        <v>12.844777129358809</v>
      </c>
      <c r="AF73" s="13">
        <f>STDEV(N99:N101)/(SQRT(COUNT(N99:N101)))</f>
        <v>0.87404179464178477</v>
      </c>
      <c r="AH73" s="12">
        <f t="shared" si="28"/>
        <v>0.28738769105199607</v>
      </c>
      <c r="AM73" s="10">
        <v>14</v>
      </c>
      <c r="AO73" s="13">
        <f t="shared" si="29"/>
        <v>54.766505688862608</v>
      </c>
      <c r="AP73" s="13"/>
      <c r="AR73" s="13">
        <f t="shared" si="30"/>
        <v>21.540796795839018</v>
      </c>
      <c r="AS73" s="13"/>
      <c r="AU73" s="12">
        <f t="shared" si="33"/>
        <v>0.39332063502856607</v>
      </c>
      <c r="AV73" s="125"/>
    </row>
    <row r="74" spans="1:48" x14ac:dyDescent="0.2">
      <c r="A74" s="22">
        <v>2</v>
      </c>
      <c r="B74" s="23" t="s">
        <v>22</v>
      </c>
      <c r="C74" s="24">
        <v>42766</v>
      </c>
      <c r="D74" s="25">
        <v>0.3756944444444445</v>
      </c>
      <c r="E74" s="24">
        <v>42781</v>
      </c>
      <c r="F74" s="25">
        <v>0.46180555555555558</v>
      </c>
      <c r="G74" s="50">
        <f t="shared" si="31"/>
        <v>362.06666666659294</v>
      </c>
      <c r="H74" s="51">
        <v>27.4</v>
      </c>
      <c r="I74" s="77">
        <v>46.2294708082432</v>
      </c>
      <c r="J74" s="77">
        <v>13.5301229415</v>
      </c>
      <c r="K74" s="108">
        <v>39.498865843841699</v>
      </c>
      <c r="L74" s="108">
        <v>11.916731658039</v>
      </c>
      <c r="M74" s="47">
        <f t="shared" si="32"/>
        <v>86.017425135010413</v>
      </c>
      <c r="N74" s="43">
        <f>J74*12.157*46/(273.15+H74)</f>
        <v>25.174987228719061</v>
      </c>
      <c r="O74" s="47">
        <f>K74*12.157*46/(273.15+H74)</f>
        <v>73.49404343678205</v>
      </c>
      <c r="P74" s="43">
        <f>L74*12.157*46/(273.15+H74)</f>
        <v>22.173011183736101</v>
      </c>
      <c r="Z74" s="10">
        <v>15</v>
      </c>
      <c r="AB74" s="13">
        <f>AVERAGE(M102:M104)</f>
        <v>51.287768532683124</v>
      </c>
      <c r="AC74" s="13">
        <f>STDEV(M102:M104)/(SQRT(COUNT(M102:M104)))</f>
        <v>0.65009175212299253</v>
      </c>
      <c r="AE74" s="13">
        <f>AVERAGE(N102:N104)</f>
        <v>13.872161249756587</v>
      </c>
      <c r="AF74" s="13">
        <f>STDEV(N102:N104)/(SQRT(COUNT(N102:N104)))</f>
        <v>0.33817654363023686</v>
      </c>
      <c r="AH74" s="12">
        <f t="shared" si="28"/>
        <v>0.27047698986779967</v>
      </c>
      <c r="AM74" s="10">
        <v>15</v>
      </c>
      <c r="AO74" s="13">
        <f t="shared" si="29"/>
        <v>62.844955927806794</v>
      </c>
      <c r="AP74" s="13"/>
      <c r="AR74" s="13">
        <f t="shared" si="30"/>
        <v>23.263728408110993</v>
      </c>
      <c r="AS74" s="13"/>
      <c r="AU74" s="12">
        <f t="shared" si="33"/>
        <v>0.37017654105502473</v>
      </c>
      <c r="AV74" s="125"/>
    </row>
    <row r="75" spans="1:48" x14ac:dyDescent="0.2">
      <c r="A75" s="17">
        <v>2</v>
      </c>
      <c r="B75" s="18" t="s">
        <v>23</v>
      </c>
      <c r="C75" s="65">
        <v>42766</v>
      </c>
      <c r="D75" s="66">
        <v>0.37708333333333338</v>
      </c>
      <c r="E75" s="65">
        <v>42781</v>
      </c>
      <c r="F75" s="66">
        <v>0.46319444444444446</v>
      </c>
      <c r="G75" s="67">
        <f t="shared" si="31"/>
        <v>362.06666666659294</v>
      </c>
      <c r="H75" s="68">
        <v>27.4</v>
      </c>
      <c r="I75" s="78">
        <v>31.6060077805307</v>
      </c>
      <c r="J75" s="78">
        <v>10.826494478868501</v>
      </c>
      <c r="K75" s="109">
        <v>24.8754028161291</v>
      </c>
      <c r="L75" s="109">
        <v>9.2131031954074594</v>
      </c>
      <c r="M75" s="44">
        <f t="shared" si="32"/>
        <v>58.8081014242021</v>
      </c>
      <c r="N75" s="45">
        <f t="shared" si="25"/>
        <v>20.144448163240067</v>
      </c>
      <c r="O75" s="44">
        <f t="shared" ref="O75:O77" si="34">K75*12.157*46/(273.15+H75)</f>
        <v>46.284719725973552</v>
      </c>
      <c r="P75" s="45">
        <f t="shared" ref="P75:P77" si="35">L75*12.157*46/(273.15+H75)</f>
        <v>17.142472118257029</v>
      </c>
      <c r="R75" s="13">
        <f>ABS(K75-MEDIAN(K75:K77))</f>
        <v>0</v>
      </c>
      <c r="S75" s="13">
        <f>ABS(K76-MEDIAN(K75:K77))</f>
        <v>1.1630839124039021</v>
      </c>
      <c r="T75" s="13">
        <f>ABS(K77-MEDIAN(K75:K77))</f>
        <v>4.7169103422610981</v>
      </c>
      <c r="V75" s="13">
        <f>ABS(L75-MEDIAN(L75:L77))</f>
        <v>1.4496560294464294</v>
      </c>
      <c r="W75" s="13">
        <f>ABS(L76-MEDIAN(L75:L77))</f>
        <v>0</v>
      </c>
      <c r="X75" s="13">
        <f>ABS(L77-MEDIAN(L75:L77))</f>
        <v>1.6633105682215898</v>
      </c>
      <c r="Z75" s="10">
        <v>16</v>
      </c>
      <c r="AB75" s="13">
        <f>AVERAGE(M105:M107)</f>
        <v>52.518566680540765</v>
      </c>
      <c r="AC75" s="13">
        <f>STDEV(M105:M107)/(SQRT(COUNT(M105:M107)))</f>
        <v>0.49091328929025352</v>
      </c>
      <c r="AE75" s="13">
        <f>AVERAGE(N105:N107)</f>
        <v>12.914342516554472</v>
      </c>
      <c r="AF75" s="13">
        <f>STDEV(N105:N107)/(SQRT(COUNT(N105:N107)))</f>
        <v>0.288010729563281</v>
      </c>
      <c r="AH75" s="12">
        <f t="shared" si="28"/>
        <v>0.24590051352904702</v>
      </c>
      <c r="AM75" s="10">
        <v>16</v>
      </c>
      <c r="AO75" s="13">
        <f t="shared" si="29"/>
        <v>64.353102169514472</v>
      </c>
      <c r="AP75" s="13"/>
      <c r="AR75" s="13">
        <f t="shared" si="30"/>
        <v>21.657458521808604</v>
      </c>
      <c r="AS75" s="13"/>
      <c r="AU75" s="12">
        <f t="shared" si="33"/>
        <v>0.33654101809668835</v>
      </c>
      <c r="AV75" s="125"/>
    </row>
    <row r="76" spans="1:48" x14ac:dyDescent="0.2">
      <c r="A76" s="17">
        <v>2</v>
      </c>
      <c r="B76" s="18" t="s">
        <v>24</v>
      </c>
      <c r="C76" s="65">
        <v>42766</v>
      </c>
      <c r="D76" s="66">
        <v>0.37708333333333338</v>
      </c>
      <c r="E76" s="65">
        <v>42781</v>
      </c>
      <c r="F76" s="66">
        <v>0.46319444444444446</v>
      </c>
      <c r="G76" s="67">
        <f t="shared" si="31"/>
        <v>362.06666666659294</v>
      </c>
      <c r="H76" s="68">
        <v>27.4</v>
      </c>
      <c r="I76" s="78">
        <v>32.769091692934502</v>
      </c>
      <c r="J76" s="78">
        <v>9.3768384494220705</v>
      </c>
      <c r="K76" s="109">
        <v>26.038486728533002</v>
      </c>
      <c r="L76" s="109">
        <v>7.76344716596103</v>
      </c>
      <c r="M76" s="44">
        <f t="shared" si="32"/>
        <v>60.972207601750867</v>
      </c>
      <c r="N76" s="45">
        <f t="shared" si="25"/>
        <v>17.447128103020159</v>
      </c>
      <c r="O76" s="44">
        <f t="shared" si="34"/>
        <v>48.448825903522483</v>
      </c>
      <c r="P76" s="45">
        <f t="shared" si="35"/>
        <v>14.445152058037131</v>
      </c>
      <c r="Z76" s="10">
        <v>17</v>
      </c>
      <c r="AB76" s="13">
        <f>AVERAGE(M108:M110)</f>
        <v>30.19857072095358</v>
      </c>
      <c r="AC76" s="13">
        <f>STDEV(M108:M110)/(SQRT(COUNT(M108:M110)))</f>
        <v>0.44315308585071761</v>
      </c>
      <c r="AE76" s="13">
        <f>AVERAGE(N108:N110)</f>
        <v>10.353923919209738</v>
      </c>
      <c r="AF76" s="13">
        <f>STDEV(N108:N110)/(SQRT(COUNT(N108:N110)))</f>
        <v>0.41055333140859873</v>
      </c>
      <c r="AH76" s="12">
        <f t="shared" si="28"/>
        <v>0.34286138953011985</v>
      </c>
      <c r="AM76" s="10">
        <v>17</v>
      </c>
      <c r="AO76" s="13">
        <f t="shared" si="29"/>
        <v>37.003517609304716</v>
      </c>
      <c r="AP76" s="13"/>
      <c r="AR76" s="13">
        <f t="shared" si="30"/>
        <v>17.36361549423065</v>
      </c>
      <c r="AS76" s="13"/>
      <c r="AU76" s="12">
        <f t="shared" si="33"/>
        <v>0.46924229413974644</v>
      </c>
      <c r="AV76" s="125"/>
    </row>
    <row r="77" spans="1:48" x14ac:dyDescent="0.2">
      <c r="A77" s="17">
        <v>2</v>
      </c>
      <c r="B77" s="18" t="s">
        <v>25</v>
      </c>
      <c r="C77" s="65">
        <v>42766</v>
      </c>
      <c r="D77" s="66">
        <v>0.37708333333333338</v>
      </c>
      <c r="E77" s="65">
        <v>42781</v>
      </c>
      <c r="F77" s="66">
        <v>0.46319444444444446</v>
      </c>
      <c r="G77" s="67">
        <f t="shared" si="31"/>
        <v>362.06666666659294</v>
      </c>
      <c r="H77" s="68">
        <v>27.4</v>
      </c>
      <c r="I77" s="78">
        <v>26.889097438269602</v>
      </c>
      <c r="J77" s="78">
        <v>7.7135278812004797</v>
      </c>
      <c r="K77" s="109">
        <v>20.158492473868002</v>
      </c>
      <c r="L77" s="109">
        <v>6.1001365977394402</v>
      </c>
      <c r="M77" s="44">
        <f t="shared" si="32"/>
        <v>50.031525029525888</v>
      </c>
      <c r="N77" s="45">
        <f t="shared" si="25"/>
        <v>14.352269135853254</v>
      </c>
      <c r="O77" s="44">
        <f t="shared" si="34"/>
        <v>37.508143331297333</v>
      </c>
      <c r="P77" s="45">
        <f t="shared" si="35"/>
        <v>11.350293090870224</v>
      </c>
      <c r="Z77" s="105" t="s">
        <v>112</v>
      </c>
      <c r="AA77" s="106"/>
      <c r="AB77" s="107">
        <f>AVERAGE(M111:M113)</f>
        <v>12.486814312457248</v>
      </c>
      <c r="AC77" s="107">
        <f>STDEV(M111:M113)/(SQRT(COUNT(M111:M113)))</f>
        <v>2.0145203691153961</v>
      </c>
      <c r="AD77" s="105"/>
      <c r="AE77" s="107">
        <f>AVERAGE(N111:N113)</f>
        <v>3.0036054678569868</v>
      </c>
      <c r="AF77" s="107">
        <f>STDEV(N111:N113)/(SQRT(COUNT(N111:N113)))</f>
        <v>0.8137593133337343</v>
      </c>
      <c r="AH77" s="12"/>
    </row>
    <row r="78" spans="1:48" x14ac:dyDescent="0.2">
      <c r="A78" s="22">
        <v>2</v>
      </c>
      <c r="B78" s="23" t="s">
        <v>26</v>
      </c>
      <c r="C78" s="24">
        <v>42766</v>
      </c>
      <c r="D78" s="25">
        <v>0.37986111111111115</v>
      </c>
      <c r="E78" s="24">
        <v>42781</v>
      </c>
      <c r="F78" s="25">
        <v>0.46527777777777773</v>
      </c>
      <c r="G78" s="50">
        <f t="shared" si="31"/>
        <v>362.05000000004657</v>
      </c>
      <c r="H78" s="51">
        <v>27.4</v>
      </c>
      <c r="I78" s="77">
        <v>24.252644660224501</v>
      </c>
      <c r="J78" s="77">
        <v>6.4818183046163496</v>
      </c>
      <c r="K78" s="108">
        <v>17.521729858097199</v>
      </c>
      <c r="L78" s="108">
        <v>4.8683527500476496</v>
      </c>
      <c r="M78" s="42">
        <f t="shared" si="32"/>
        <v>45.125977215704772</v>
      </c>
      <c r="N78" s="43">
        <f t="shared" si="25"/>
        <v>12.060473784542221</v>
      </c>
      <c r="O78" s="42">
        <f>K78*12.157*46/(273.15+H78)</f>
        <v>32.602019014156824</v>
      </c>
      <c r="P78" s="43">
        <f>L78*12.157*46/(273.15+H78)</f>
        <v>9.058359546122599</v>
      </c>
      <c r="R78" s="13">
        <f>ABS(K78-MEDIAN(K78:K80))</f>
        <v>0.34551888724899982</v>
      </c>
      <c r="S78" s="13">
        <f>ABS(K79-MEDIAN(K78:K80))</f>
        <v>0.49588415411719922</v>
      </c>
      <c r="T78" s="13">
        <f>ABS(K80-MEDIAN(K78:K80))</f>
        <v>0</v>
      </c>
      <c r="V78" s="13">
        <f>ABS(L78-MEDIAN(L78:L80))</f>
        <v>0.3953789354017303</v>
      </c>
      <c r="W78" s="13">
        <f>ABS(L79-MEDIAN(L78:L80))</f>
        <v>0</v>
      </c>
      <c r="X78" s="13">
        <f>ABS(L80-MEDIAN(L78:L80))</f>
        <v>0.66894920888678033</v>
      </c>
    </row>
    <row r="79" spans="1:48" x14ac:dyDescent="0.2">
      <c r="A79" s="22">
        <v>2</v>
      </c>
      <c r="B79" s="23" t="s">
        <v>27</v>
      </c>
      <c r="C79" s="24">
        <v>42766</v>
      </c>
      <c r="D79" s="25">
        <v>0.37986111111111115</v>
      </c>
      <c r="E79" s="24">
        <v>42781</v>
      </c>
      <c r="F79" s="25">
        <v>0.46527777777777773</v>
      </c>
      <c r="G79" s="50">
        <f t="shared" si="31"/>
        <v>362.05000000004657</v>
      </c>
      <c r="H79" s="51">
        <v>27.4</v>
      </c>
      <c r="I79" s="77">
        <v>23.411241618858298</v>
      </c>
      <c r="J79" s="77">
        <v>6.8771972400180896</v>
      </c>
      <c r="K79" s="108">
        <v>16.680326816731</v>
      </c>
      <c r="L79" s="108">
        <v>5.2637316854493799</v>
      </c>
      <c r="M79" s="42">
        <f t="shared" si="32"/>
        <v>43.560410449446607</v>
      </c>
      <c r="N79" s="43">
        <f t="shared" si="25"/>
        <v>12.79614039247179</v>
      </c>
      <c r="O79" s="42">
        <f>K79*12.157*46/(273.15+H79)</f>
        <v>31.036452247898669</v>
      </c>
      <c r="P79" s="43">
        <f>L79*12.157*46/(273.15+H79)</f>
        <v>9.7940261540521512</v>
      </c>
    </row>
    <row r="80" spans="1:48" x14ac:dyDescent="0.2">
      <c r="A80" s="22">
        <v>2</v>
      </c>
      <c r="B80" s="23" t="s">
        <v>28</v>
      </c>
      <c r="C80" s="24">
        <v>42766</v>
      </c>
      <c r="D80" s="25">
        <v>0.37986111111111115</v>
      </c>
      <c r="E80" s="24">
        <v>42781</v>
      </c>
      <c r="F80" s="25">
        <v>0.46527777777777773</v>
      </c>
      <c r="G80" s="50">
        <f t="shared" si="31"/>
        <v>362.05000000004657</v>
      </c>
      <c r="H80" s="51">
        <v>27.4</v>
      </c>
      <c r="I80" s="77">
        <v>23.907125772975501</v>
      </c>
      <c r="J80" s="77">
        <v>7.5461464489048602</v>
      </c>
      <c r="K80" s="108">
        <v>17.176210970848199</v>
      </c>
      <c r="L80" s="108">
        <v>5.9326808943361602</v>
      </c>
      <c r="M80" s="42">
        <f t="shared" si="32"/>
        <v>44.48308331064684</v>
      </c>
      <c r="N80" s="43">
        <f t="shared" si="25"/>
        <v>14.040828845281895</v>
      </c>
      <c r="O80" s="42">
        <f>K80*12.157*46/(273.15+H80)</f>
        <v>31.959125109098895</v>
      </c>
      <c r="P80" s="43">
        <f>L80*12.157*46/(273.15+H80)</f>
        <v>11.038714606862275</v>
      </c>
      <c r="Z80" s="126"/>
      <c r="AA80" s="126"/>
      <c r="AB80" s="126"/>
      <c r="AC80" s="127"/>
      <c r="AE80" s="126"/>
      <c r="AF80" s="127"/>
    </row>
    <row r="81" spans="1:32" x14ac:dyDescent="0.2">
      <c r="A81" s="17">
        <v>2</v>
      </c>
      <c r="B81" s="18" t="s">
        <v>29</v>
      </c>
      <c r="C81" s="65">
        <v>42766</v>
      </c>
      <c r="D81" s="66">
        <v>0.3923611111111111</v>
      </c>
      <c r="E81" s="65">
        <v>42781</v>
      </c>
      <c r="F81" s="66">
        <v>0.47916666666666669</v>
      </c>
      <c r="G81" s="67">
        <f t="shared" si="31"/>
        <v>362.08333333331393</v>
      </c>
      <c r="H81" s="68">
        <v>27.4</v>
      </c>
      <c r="I81" s="78">
        <v>20.674277404601501</v>
      </c>
      <c r="J81" s="78">
        <v>7.65127576427723</v>
      </c>
      <c r="K81" s="109">
        <v>13.9439822494053</v>
      </c>
      <c r="L81" s="109">
        <v>6.0379587450872503</v>
      </c>
      <c r="M81" s="44">
        <f t="shared" si="32"/>
        <v>38.467844813695102</v>
      </c>
      <c r="N81" s="45">
        <f t="shared" si="25"/>
        <v>14.236438980038734</v>
      </c>
      <c r="O81" s="44">
        <f t="shared" ref="O81:O83" si="36">K81*12.157*46/(273.15+H81)</f>
        <v>25.945039565719288</v>
      </c>
      <c r="P81" s="45">
        <f t="shared" ref="P81:P83" si="37">L81*12.157*46/(273.15+H81)</f>
        <v>11.234601115771696</v>
      </c>
      <c r="R81" s="13">
        <f>ABS(K81-MEDIAN(K81:K83))</f>
        <v>1.7570284706284998</v>
      </c>
      <c r="S81" s="13">
        <f>ABS(K82-MEDIAN(K81:K83))</f>
        <v>1.3661513814949</v>
      </c>
      <c r="T81" s="13">
        <f>ABS(K83-MEDIAN(K81:K83))</f>
        <v>0</v>
      </c>
      <c r="V81" s="13">
        <f>ABS(L81-MEDIAN(L81:L83))</f>
        <v>0</v>
      </c>
      <c r="W81" s="13">
        <f>ABS(L82-MEDIAN(L81:L83))</f>
        <v>1.5973435833569916E-2</v>
      </c>
      <c r="X81" s="13">
        <f>ABS(L83-MEDIAN(L81:L83))</f>
        <v>0.21963474271150041</v>
      </c>
      <c r="Z81" s="126"/>
      <c r="AA81" s="126"/>
      <c r="AB81" s="126"/>
      <c r="AC81" s="127"/>
      <c r="AD81" s="127"/>
      <c r="AE81" s="126"/>
      <c r="AF81" s="127"/>
    </row>
    <row r="82" spans="1:32" x14ac:dyDescent="0.2">
      <c r="A82" s="17">
        <v>2</v>
      </c>
      <c r="B82" s="18" t="s">
        <v>30</v>
      </c>
      <c r="C82" s="65">
        <v>42766</v>
      </c>
      <c r="D82" s="66">
        <v>0.3923611111111111</v>
      </c>
      <c r="E82" s="65">
        <v>42781</v>
      </c>
      <c r="F82" s="66">
        <v>0.47916666666666669</v>
      </c>
      <c r="G82" s="67">
        <f t="shared" si="31"/>
        <v>362.08333333331393</v>
      </c>
      <c r="H82" s="68">
        <v>27.4</v>
      </c>
      <c r="I82" s="78">
        <v>17.551097552478101</v>
      </c>
      <c r="J82" s="78">
        <v>7.6672492001107999</v>
      </c>
      <c r="K82" s="109">
        <v>10.8208023972819</v>
      </c>
      <c r="L82" s="109">
        <v>6.0539321809208202</v>
      </c>
      <c r="M82" s="44">
        <f t="shared" si="32"/>
        <v>32.65666237062689</v>
      </c>
      <c r="N82" s="45">
        <f t="shared" si="25"/>
        <v>14.266160147011687</v>
      </c>
      <c r="O82" s="44">
        <f t="shared" si="36"/>
        <v>20.133857122651072</v>
      </c>
      <c r="P82" s="45">
        <f t="shared" si="37"/>
        <v>11.264322282744647</v>
      </c>
    </row>
    <row r="83" spans="1:32" x14ac:dyDescent="0.2">
      <c r="A83" s="17">
        <v>2</v>
      </c>
      <c r="B83" s="18" t="s">
        <v>31</v>
      </c>
      <c r="C83" s="65">
        <v>42766</v>
      </c>
      <c r="D83" s="66">
        <v>0.3923611111111111</v>
      </c>
      <c r="E83" s="65">
        <v>42781</v>
      </c>
      <c r="F83" s="66">
        <v>0.47916666666666669</v>
      </c>
      <c r="G83" s="67">
        <f t="shared" si="31"/>
        <v>362.08333333331393</v>
      </c>
      <c r="H83" s="68">
        <v>27.4</v>
      </c>
      <c r="I83" s="78">
        <v>18.917248933972999</v>
      </c>
      <c r="J83" s="78">
        <v>7.4316410215657296</v>
      </c>
      <c r="K83" s="109">
        <v>12.1869537787768</v>
      </c>
      <c r="L83" s="109">
        <v>5.8183240023757499</v>
      </c>
      <c r="M83" s="44">
        <f t="shared" si="32"/>
        <v>35.198608495605555</v>
      </c>
      <c r="N83" s="45">
        <f t="shared" si="25"/>
        <v>13.827772934160809</v>
      </c>
      <c r="O83" s="44">
        <f t="shared" si="36"/>
        <v>22.675803247629748</v>
      </c>
      <c r="P83" s="45">
        <f t="shared" si="37"/>
        <v>10.825935069893768</v>
      </c>
    </row>
    <row r="84" spans="1:32" x14ac:dyDescent="0.2">
      <c r="A84" s="22">
        <v>2</v>
      </c>
      <c r="B84" s="23" t="s">
        <v>32</v>
      </c>
      <c r="C84" s="24">
        <v>42766</v>
      </c>
      <c r="D84" s="25">
        <v>0.43055555555555558</v>
      </c>
      <c r="E84" s="24">
        <v>42781</v>
      </c>
      <c r="F84" s="25">
        <v>0.50694444444444442</v>
      </c>
      <c r="G84" s="50">
        <f t="shared" si="31"/>
        <v>361.83333333337214</v>
      </c>
      <c r="H84" s="51">
        <v>27.4</v>
      </c>
      <c r="I84" s="77">
        <v>50.574395497510103</v>
      </c>
      <c r="J84" s="77">
        <v>16.086373304011399</v>
      </c>
      <c r="K84" s="108">
        <v>43.839450207477299</v>
      </c>
      <c r="L84" s="108">
        <v>14.471941602404</v>
      </c>
      <c r="M84" s="42">
        <f t="shared" si="32"/>
        <v>94.10186191618233</v>
      </c>
      <c r="N84" s="43">
        <f t="shared" si="25"/>
        <v>29.931305446068418</v>
      </c>
      <c r="O84" s="42">
        <f>K84*12.157*46/(273.15+H84)</f>
        <v>81.570404338465721</v>
      </c>
      <c r="P84" s="43">
        <f>L84*12.157*46/(273.15+H84)</f>
        <v>26.927393534452076</v>
      </c>
      <c r="R84" s="13">
        <f>ABS(K84-MEDIAN(K84:K86))</f>
        <v>1.1895330071302013</v>
      </c>
      <c r="S84" s="13">
        <f>ABS(K85-MEDIAN(K84:K86))</f>
        <v>0</v>
      </c>
      <c r="T84" s="13">
        <f>ABS(K86-MEDIAN(K84:K86))</f>
        <v>2.2808626991819025</v>
      </c>
      <c r="V84" s="13">
        <f>ABS(L84-MEDIAN(L84:L86))</f>
        <v>0.58143517966299996</v>
      </c>
      <c r="W84" s="13">
        <f>ABS(L85-MEDIAN(L84:L86))</f>
        <v>0.33567391815600089</v>
      </c>
      <c r="X84" s="13">
        <f>ABS(L86-MEDIAN(L84:L86))</f>
        <v>0</v>
      </c>
    </row>
    <row r="85" spans="1:32" x14ac:dyDescent="0.2">
      <c r="A85" s="22">
        <v>2</v>
      </c>
      <c r="B85" s="23" t="s">
        <v>33</v>
      </c>
      <c r="C85" s="24">
        <v>42766</v>
      </c>
      <c r="D85" s="25">
        <v>0.43055555555555558</v>
      </c>
      <c r="E85" s="24">
        <v>42781</v>
      </c>
      <c r="F85" s="25">
        <v>0.50694444444444442</v>
      </c>
      <c r="G85" s="50">
        <f t="shared" si="31"/>
        <v>361.83333333337214</v>
      </c>
      <c r="H85" s="51">
        <v>27.4</v>
      </c>
      <c r="I85" s="77">
        <v>51.763928504640397</v>
      </c>
      <c r="J85" s="77">
        <v>17.0034824018304</v>
      </c>
      <c r="K85" s="108">
        <v>45.0289832146075</v>
      </c>
      <c r="L85" s="108">
        <v>15.389050700223001</v>
      </c>
      <c r="M85" s="42">
        <f t="shared" si="32"/>
        <v>96.315180922382368</v>
      </c>
      <c r="N85" s="43">
        <f t="shared" si="25"/>
        <v>31.637735603781071</v>
      </c>
      <c r="O85" s="42">
        <f>K85*12.157*46/(273.15+H85)</f>
        <v>83.783723344665574</v>
      </c>
      <c r="P85" s="43">
        <f>L85*12.157*46/(273.15+H85)</f>
        <v>28.633823692164722</v>
      </c>
    </row>
    <row r="86" spans="1:32" x14ac:dyDescent="0.2">
      <c r="A86" s="22">
        <v>2</v>
      </c>
      <c r="B86" s="23" t="s">
        <v>34</v>
      </c>
      <c r="C86" s="24">
        <v>42766</v>
      </c>
      <c r="D86" s="25">
        <v>0.43055555555555558</v>
      </c>
      <c r="E86" s="24">
        <v>42781</v>
      </c>
      <c r="F86" s="25">
        <v>0.50694444444444442</v>
      </c>
      <c r="G86" s="50">
        <f t="shared" si="31"/>
        <v>361.83333333337214</v>
      </c>
      <c r="H86" s="51">
        <v>27.4</v>
      </c>
      <c r="I86" s="77">
        <v>54.0447912038223</v>
      </c>
      <c r="J86" s="77">
        <v>16.667808483674399</v>
      </c>
      <c r="K86" s="108">
        <v>47.309845913789403</v>
      </c>
      <c r="L86" s="108">
        <v>15.053376782067</v>
      </c>
      <c r="M86" s="42">
        <f t="shared" si="32"/>
        <v>100.5590957464113</v>
      </c>
      <c r="N86" s="43">
        <f t="shared" si="25"/>
        <v>31.013159859781624</v>
      </c>
      <c r="O86" s="42">
        <f>K86*12.157*46/(273.15+H86)</f>
        <v>88.027638168694523</v>
      </c>
      <c r="P86" s="43">
        <f>L86*12.157*46/(273.15+H86)</f>
        <v>28.009247948165278</v>
      </c>
    </row>
    <row r="87" spans="1:32" x14ac:dyDescent="0.2">
      <c r="A87" s="17">
        <v>2</v>
      </c>
      <c r="B87" s="18" t="s">
        <v>35</v>
      </c>
      <c r="C87" s="65">
        <v>42766</v>
      </c>
      <c r="D87" s="66">
        <v>0.43055555555555558</v>
      </c>
      <c r="E87" s="65">
        <v>42781</v>
      </c>
      <c r="F87" s="66">
        <v>0.51736111111111105</v>
      </c>
      <c r="G87" s="67">
        <f t="shared" si="31"/>
        <v>362.08333333331393</v>
      </c>
      <c r="H87" s="68">
        <v>27.4</v>
      </c>
      <c r="I87" s="78">
        <v>45.406351889147103</v>
      </c>
      <c r="J87" s="78">
        <v>9.4902175646163105</v>
      </c>
      <c r="K87" s="109">
        <v>38.676056733950901</v>
      </c>
      <c r="L87" s="109">
        <v>7.8769005454263299</v>
      </c>
      <c r="M87" s="44">
        <f t="shared" si="32"/>
        <v>84.485878942447599</v>
      </c>
      <c r="N87" s="45">
        <f t="shared" si="25"/>
        <v>17.658088327798577</v>
      </c>
      <c r="O87" s="44">
        <f t="shared" ref="O87:O89" si="38">K87*12.157*46/(273.15+H87)</f>
        <v>71.963073694471788</v>
      </c>
      <c r="P87" s="45">
        <f t="shared" ref="P87:P89" si="39">L87*12.157*46/(273.15+H87)</f>
        <v>14.656250463531537</v>
      </c>
      <c r="R87" s="13">
        <f>ABS(K87-MEDIAN(K87:K89))</f>
        <v>0</v>
      </c>
      <c r="S87" s="13">
        <f>ABS(K88-MEDIAN(K87:K89))</f>
        <v>11.327002283774199</v>
      </c>
      <c r="T87" s="13">
        <f>ABS(K89-MEDIAN(K87:K89))</f>
        <v>3.3030375032627006</v>
      </c>
      <c r="V87" s="13">
        <f>ABS(L87-MEDIAN(L87:L89))</f>
        <v>0.20965134531553087</v>
      </c>
      <c r="W87" s="13">
        <f>ABS(L88-MEDIAN(L87:L89))</f>
        <v>0</v>
      </c>
      <c r="X87" s="13">
        <f>ABS(L89-MEDIAN(L87:L89))</f>
        <v>3.2805443843182385</v>
      </c>
    </row>
    <row r="88" spans="1:32" x14ac:dyDescent="0.2">
      <c r="A88" s="17">
        <v>2</v>
      </c>
      <c r="B88" s="18" t="s">
        <v>36</v>
      </c>
      <c r="C88" s="65">
        <v>42766</v>
      </c>
      <c r="D88" s="66">
        <v>0.43055555555555558</v>
      </c>
      <c r="E88" s="65">
        <v>42781</v>
      </c>
      <c r="F88" s="66">
        <v>0.51736111111111105</v>
      </c>
      <c r="G88" s="67">
        <f t="shared" si="31"/>
        <v>362.08333333331393</v>
      </c>
      <c r="H88" s="68">
        <v>27.4</v>
      </c>
      <c r="I88" s="78">
        <v>56.733354172921302</v>
      </c>
      <c r="J88" s="78">
        <v>9.6998689099318405</v>
      </c>
      <c r="K88" s="109">
        <v>50.0030590177251</v>
      </c>
      <c r="L88" s="109">
        <v>8.0865518907418608</v>
      </c>
      <c r="M88" s="47">
        <f t="shared" si="32"/>
        <v>105.56160301876362</v>
      </c>
      <c r="N88" s="45">
        <f t="shared" si="25"/>
        <v>18.048178644318433</v>
      </c>
      <c r="O88" s="47">
        <f t="shared" si="38"/>
        <v>93.038797770787781</v>
      </c>
      <c r="P88" s="45">
        <f t="shared" si="39"/>
        <v>15.046340780051393</v>
      </c>
    </row>
    <row r="89" spans="1:32" x14ac:dyDescent="0.2">
      <c r="A89" s="17">
        <v>2</v>
      </c>
      <c r="B89" s="18" t="s">
        <v>37</v>
      </c>
      <c r="C89" s="65">
        <v>42766</v>
      </c>
      <c r="D89" s="66">
        <v>0.43055555555555558</v>
      </c>
      <c r="E89" s="65">
        <v>42781</v>
      </c>
      <c r="F89" s="66">
        <v>0.51736111111111105</v>
      </c>
      <c r="G89" s="67">
        <f t="shared" si="31"/>
        <v>362.08333333331393</v>
      </c>
      <c r="H89" s="68">
        <v>27.4</v>
      </c>
      <c r="I89" s="78">
        <v>42.103314385884403</v>
      </c>
      <c r="J89" s="78">
        <v>12.9804132942501</v>
      </c>
      <c r="K89" s="109">
        <v>35.3730192306882</v>
      </c>
      <c r="L89" s="109">
        <v>11.367096275060099</v>
      </c>
      <c r="M89" s="44">
        <f t="shared" si="32"/>
        <v>78.340042181011654</v>
      </c>
      <c r="N89" s="46">
        <f t="shared" si="25"/>
        <v>24.152163311386225</v>
      </c>
      <c r="O89" s="44">
        <f t="shared" si="38"/>
        <v>65.817236933035829</v>
      </c>
      <c r="P89" s="46">
        <f t="shared" si="39"/>
        <v>21.150325447119151</v>
      </c>
    </row>
    <row r="90" spans="1:32" x14ac:dyDescent="0.2">
      <c r="A90" s="22">
        <v>2</v>
      </c>
      <c r="B90" s="23" t="s">
        <v>38</v>
      </c>
      <c r="C90" s="24">
        <v>42766</v>
      </c>
      <c r="D90" s="25">
        <v>0.43055555555555558</v>
      </c>
      <c r="E90" s="24">
        <v>42781</v>
      </c>
      <c r="F90" s="25">
        <v>0.4826388888888889</v>
      </c>
      <c r="G90" s="50">
        <f t="shared" si="31"/>
        <v>361.25000000005821</v>
      </c>
      <c r="H90" s="51">
        <v>27.4</v>
      </c>
      <c r="I90" s="77">
        <v>19.689117717312001</v>
      </c>
      <c r="J90" s="77">
        <v>7.0705414226029397</v>
      </c>
      <c r="K90" s="108">
        <v>12.9432970830972</v>
      </c>
      <c r="L90" s="108">
        <v>5.4535027955258997</v>
      </c>
      <c r="M90" s="42">
        <f t="shared" si="32"/>
        <v>36.634795501948602</v>
      </c>
      <c r="N90" s="43">
        <f t="shared" si="25"/>
        <v>13.155888589022997</v>
      </c>
      <c r="O90" s="42">
        <f>K90*12.157*46/(273.15+H90)</f>
        <v>24.083102583276606</v>
      </c>
      <c r="P90" s="43">
        <f>L90*12.157*46/(273.15+H90)</f>
        <v>10.147126069937064</v>
      </c>
      <c r="R90" s="13">
        <f>ABS(K90-MEDIAN(K90:K92))</f>
        <v>0</v>
      </c>
      <c r="S90" s="13">
        <f>ABS(K91-MEDIAN(K90:K92))</f>
        <v>0.7483729867911002</v>
      </c>
      <c r="T90" s="13">
        <f>ABS(K92-MEDIAN(K90:K92))</f>
        <v>0.86180874503940075</v>
      </c>
      <c r="V90" s="13">
        <f>ABS(L90-MEDIAN(L90:L92))</f>
        <v>0</v>
      </c>
      <c r="W90" s="13">
        <f>ABS(L91-MEDIAN(L90:L92))</f>
        <v>0.33821723759408062</v>
      </c>
      <c r="X90" s="13">
        <f>ABS(L92-MEDIAN(L90:L92))</f>
        <v>0.87055916185458937</v>
      </c>
    </row>
    <row r="91" spans="1:32" x14ac:dyDescent="0.2">
      <c r="A91" s="22">
        <v>2</v>
      </c>
      <c r="B91" s="23" t="s">
        <v>39</v>
      </c>
      <c r="C91" s="24">
        <v>42766</v>
      </c>
      <c r="D91" s="25">
        <v>0.43055555555555558</v>
      </c>
      <c r="E91" s="24">
        <v>42781</v>
      </c>
      <c r="F91" s="25">
        <v>0.4826388888888889</v>
      </c>
      <c r="G91" s="50">
        <f t="shared" si="31"/>
        <v>361.25000000005821</v>
      </c>
      <c r="H91" s="51">
        <v>27.4</v>
      </c>
      <c r="I91" s="77">
        <v>18.940744730520901</v>
      </c>
      <c r="J91" s="77">
        <v>7.4087586601970203</v>
      </c>
      <c r="K91" s="108">
        <v>12.194924096306099</v>
      </c>
      <c r="L91" s="108">
        <v>5.7917200331199803</v>
      </c>
      <c r="M91" s="42">
        <f t="shared" si="32"/>
        <v>35.242326234208484</v>
      </c>
      <c r="N91" s="43">
        <f t="shared" si="25"/>
        <v>13.785196591158538</v>
      </c>
      <c r="O91" s="42">
        <f>K91*12.157*46/(273.15+H91)</f>
        <v>22.690633315536488</v>
      </c>
      <c r="P91" s="43">
        <f>L91*12.157*46/(273.15+H91)</f>
        <v>10.776434072072606</v>
      </c>
    </row>
    <row r="92" spans="1:32" x14ac:dyDescent="0.2">
      <c r="A92" s="22">
        <v>2</v>
      </c>
      <c r="B92" s="23" t="s">
        <v>40</v>
      </c>
      <c r="C92" s="24">
        <v>42766</v>
      </c>
      <c r="D92" s="25">
        <v>0.43055555555555558</v>
      </c>
      <c r="E92" s="24">
        <v>42781</v>
      </c>
      <c r="F92" s="25">
        <v>0.4826388888888889</v>
      </c>
      <c r="G92" s="50">
        <f t="shared" si="31"/>
        <v>361.25000000005821</v>
      </c>
      <c r="H92" s="51">
        <v>27.4</v>
      </c>
      <c r="I92" s="77">
        <v>20.550926462351399</v>
      </c>
      <c r="J92" s="77">
        <v>6.1999822607483503</v>
      </c>
      <c r="K92" s="108">
        <v>13.8051058281366</v>
      </c>
      <c r="L92" s="108">
        <v>4.5829436336713103</v>
      </c>
      <c r="M92" s="42">
        <f t="shared" si="32"/>
        <v>38.238330388052155</v>
      </c>
      <c r="N92" s="43">
        <f t="shared" si="25"/>
        <v>11.536072133822042</v>
      </c>
      <c r="O92" s="42">
        <f>K92*12.157*46/(273.15+H92)</f>
        <v>25.686637469380162</v>
      </c>
      <c r="P92" s="43">
        <f>L92*12.157*46/(273.15+H92)</f>
        <v>8.5273096147361098</v>
      </c>
    </row>
    <row r="93" spans="1:32" x14ac:dyDescent="0.2">
      <c r="A93" s="17">
        <v>2</v>
      </c>
      <c r="B93" s="18" t="s">
        <v>41</v>
      </c>
      <c r="C93" s="65">
        <v>42766</v>
      </c>
      <c r="D93" s="66">
        <v>0.40972222222222227</v>
      </c>
      <c r="E93" s="65">
        <v>42781</v>
      </c>
      <c r="F93" s="66">
        <v>0.47916666666666669</v>
      </c>
      <c r="G93" s="67">
        <f t="shared" si="31"/>
        <v>361.66666666668607</v>
      </c>
      <c r="H93" s="68">
        <v>27.4</v>
      </c>
      <c r="I93" s="78">
        <v>13.1606744131873</v>
      </c>
      <c r="J93" s="78">
        <v>4.05393103678482</v>
      </c>
      <c r="K93" s="109">
        <v>6.4226254617300604</v>
      </c>
      <c r="L93" s="109">
        <v>2.4387553574346499</v>
      </c>
      <c r="M93" s="44">
        <f t="shared" si="32"/>
        <v>24.487568347001925</v>
      </c>
      <c r="N93" s="45">
        <f t="shared" si="25"/>
        <v>7.5429959149987722</v>
      </c>
      <c r="O93" s="44">
        <f t="shared" ref="O93:O95" si="40">K93*12.157*46/(273.15+H93)</f>
        <v>11.950335904041285</v>
      </c>
      <c r="P93" s="45">
        <f t="shared" ref="P93:P95" si="41">L93*12.157*46/(273.15+H93)</f>
        <v>4.537699712178739</v>
      </c>
      <c r="R93" s="13">
        <f>ABS(K93-MEDIAN(K93:K95))</f>
        <v>0.73467528914570046</v>
      </c>
      <c r="S93" s="13">
        <f>ABS(K94-MEDIAN(K93:K95))</f>
        <v>0.15827555157115025</v>
      </c>
      <c r="T93" s="13">
        <f>ABS(K95-MEDIAN(K93:K95))</f>
        <v>0</v>
      </c>
      <c r="V93" s="13">
        <f>ABS(L93-MEDIAN(L93:L95))</f>
        <v>0.26986227315874967</v>
      </c>
      <c r="W93" s="13">
        <f>ABS(L94-MEDIAN(L93:L95))</f>
        <v>0.2258847175328802</v>
      </c>
      <c r="X93" s="13">
        <f>ABS(L95-MEDIAN(L93:L95))</f>
        <v>0</v>
      </c>
    </row>
    <row r="94" spans="1:32" x14ac:dyDescent="0.2">
      <c r="A94" s="17">
        <v>2</v>
      </c>
      <c r="B94" s="18" t="s">
        <v>42</v>
      </c>
      <c r="C94" s="65">
        <v>42766</v>
      </c>
      <c r="D94" s="66">
        <v>0.40972222222222227</v>
      </c>
      <c r="E94" s="65">
        <v>42781</v>
      </c>
      <c r="F94" s="66">
        <v>0.47916666666666669</v>
      </c>
      <c r="G94" s="67">
        <f t="shared" si="31"/>
        <v>361.66666666668607</v>
      </c>
      <c r="H94" s="68">
        <v>27.4</v>
      </c>
      <c r="I94" s="78">
        <v>12.2677235724704</v>
      </c>
      <c r="J94" s="78">
        <v>3.5581840460931802</v>
      </c>
      <c r="K94" s="109">
        <v>5.5296746210132097</v>
      </c>
      <c r="L94" s="109">
        <v>1.94300836674302</v>
      </c>
      <c r="M94" s="44">
        <f t="shared" si="32"/>
        <v>22.82608854315103</v>
      </c>
      <c r="N94" s="45">
        <f t="shared" si="25"/>
        <v>6.6205782685886563</v>
      </c>
      <c r="O94" s="44">
        <f t="shared" si="40"/>
        <v>10.288856100190483</v>
      </c>
      <c r="P94" s="45">
        <f t="shared" si="41"/>
        <v>3.6152820657686418</v>
      </c>
    </row>
    <row r="95" spans="1:32" x14ac:dyDescent="0.2">
      <c r="A95" s="17">
        <v>2</v>
      </c>
      <c r="B95" s="18" t="s">
        <v>43</v>
      </c>
      <c r="C95" s="65">
        <v>42766</v>
      </c>
      <c r="D95" s="66">
        <v>0.40972222222222227</v>
      </c>
      <c r="E95" s="65">
        <v>42781</v>
      </c>
      <c r="F95" s="66">
        <v>0.47916666666666669</v>
      </c>
      <c r="G95" s="67">
        <f t="shared" si="31"/>
        <v>361.66666666668607</v>
      </c>
      <c r="H95" s="68">
        <v>27.4</v>
      </c>
      <c r="I95" s="78">
        <v>12.425999124041599</v>
      </c>
      <c r="J95" s="78">
        <v>3.7840687636260699</v>
      </c>
      <c r="K95" s="109">
        <v>5.68795017258436</v>
      </c>
      <c r="L95" s="109">
        <v>2.1688930842759002</v>
      </c>
      <c r="M95" s="44">
        <f t="shared" si="32"/>
        <v>23.120585866394251</v>
      </c>
      <c r="N95" s="45">
        <f t="shared" si="25"/>
        <v>7.0408734058642439</v>
      </c>
      <c r="O95" s="44">
        <f t="shared" si="40"/>
        <v>10.583353423433609</v>
      </c>
      <c r="P95" s="45">
        <f t="shared" si="41"/>
        <v>4.0355772030442107</v>
      </c>
    </row>
    <row r="96" spans="1:32" x14ac:dyDescent="0.2">
      <c r="A96" s="22">
        <v>2</v>
      </c>
      <c r="B96" s="23" t="s">
        <v>44</v>
      </c>
      <c r="C96" s="24">
        <v>42766</v>
      </c>
      <c r="D96" s="25">
        <v>0.43402777777777773</v>
      </c>
      <c r="E96" s="24">
        <v>42781</v>
      </c>
      <c r="F96" s="25">
        <v>0.47916666666666669</v>
      </c>
      <c r="G96" s="50">
        <f t="shared" si="31"/>
        <v>361.08333333319752</v>
      </c>
      <c r="H96" s="51">
        <v>27.4</v>
      </c>
      <c r="I96" s="77">
        <v>12.835859979452101</v>
      </c>
      <c r="J96" s="77">
        <v>3.8462438171205098</v>
      </c>
      <c r="K96" s="108">
        <v>6.0869256500412803</v>
      </c>
      <c r="L96" s="108">
        <v>2.2284588071083502</v>
      </c>
      <c r="M96" s="42">
        <f t="shared" si="32"/>
        <v>23.883198434300994</v>
      </c>
      <c r="N96" s="43">
        <f t="shared" si="25"/>
        <v>7.1565601726759818</v>
      </c>
      <c r="O96" s="42">
        <f>K96*12.157*46/(273.15+H96)</f>
        <v>11.325711980926252</v>
      </c>
      <c r="P96" s="43">
        <f>L96*12.157*46/(273.15+H96)</f>
        <v>4.1464088871360705</v>
      </c>
      <c r="R96" s="13">
        <f>ABS(K96-MEDIAN(K96:K98))</f>
        <v>3.6079976555907223E-3</v>
      </c>
      <c r="S96" s="13">
        <f>ABS(K97-MEDIAN(K96:K98))</f>
        <v>0</v>
      </c>
      <c r="T96" s="13">
        <f>ABS(K98-MEDIAN(K96:K98))</f>
        <v>0.12124054384646943</v>
      </c>
      <c r="V96" s="13">
        <f>ABS(L96-MEDIAN(L96:L98))</f>
        <v>0</v>
      </c>
      <c r="W96" s="13">
        <f>ABS(L97-MEDIAN(L96:L98))</f>
        <v>0.28231149308381021</v>
      </c>
      <c r="X96" s="13">
        <f>ABS(L98-MEDIAN(L96:L98))</f>
        <v>0.43848380840675993</v>
      </c>
    </row>
    <row r="97" spans="1:24" x14ac:dyDescent="0.2">
      <c r="A97" s="22">
        <v>2</v>
      </c>
      <c r="B97" s="23" t="s">
        <v>45</v>
      </c>
      <c r="C97" s="24">
        <v>42766</v>
      </c>
      <c r="D97" s="25">
        <v>0.43402777777777773</v>
      </c>
      <c r="E97" s="24">
        <v>42781</v>
      </c>
      <c r="F97" s="25">
        <v>0.47916666666666669</v>
      </c>
      <c r="G97" s="50">
        <f t="shared" si="31"/>
        <v>361.08333333319752</v>
      </c>
      <c r="H97" s="51">
        <v>27.4</v>
      </c>
      <c r="I97" s="77">
        <v>12.8322519817965</v>
      </c>
      <c r="J97" s="77">
        <v>3.5639323240367098</v>
      </c>
      <c r="K97" s="108">
        <v>6.0833176523856896</v>
      </c>
      <c r="L97" s="108">
        <v>1.94614731402454</v>
      </c>
      <c r="M97" s="42">
        <f t="shared" si="32"/>
        <v>23.87648516973616</v>
      </c>
      <c r="N97" s="43">
        <f t="shared" si="25"/>
        <v>6.6312738716102384</v>
      </c>
      <c r="O97" s="42">
        <f>K97*12.157*46/(273.15+H97)</f>
        <v>11.318998716361438</v>
      </c>
      <c r="P97" s="43">
        <f>L97*12.157*46/(273.15+H97)</f>
        <v>3.6211225860703093</v>
      </c>
    </row>
    <row r="98" spans="1:24" x14ac:dyDescent="0.2">
      <c r="A98" s="22">
        <v>2</v>
      </c>
      <c r="B98" s="23" t="s">
        <v>46</v>
      </c>
      <c r="C98" s="24">
        <v>42766</v>
      </c>
      <c r="D98" s="25">
        <v>0.43402777777777773</v>
      </c>
      <c r="E98" s="24">
        <v>42781</v>
      </c>
      <c r="F98" s="25">
        <v>0.47916666666666669</v>
      </c>
      <c r="G98" s="50">
        <f t="shared" si="31"/>
        <v>361.08333333319752</v>
      </c>
      <c r="H98" s="51">
        <v>27.4</v>
      </c>
      <c r="I98" s="77">
        <v>12.711011437950001</v>
      </c>
      <c r="J98" s="77">
        <v>4.2847276255272799</v>
      </c>
      <c r="K98" s="108">
        <v>5.9620771085392201</v>
      </c>
      <c r="L98" s="108">
        <v>2.6669426155151101</v>
      </c>
      <c r="M98" s="42">
        <f t="shared" si="32"/>
        <v>23.650897482459744</v>
      </c>
      <c r="N98" s="43">
        <f t="shared" si="25"/>
        <v>7.9724303849696119</v>
      </c>
      <c r="O98" s="42">
        <f>K98*12.157*46/(273.15+H98)</f>
        <v>11.093411029085077</v>
      </c>
      <c r="P98" s="43">
        <f>L98*12.157*46/(273.15+H98)</f>
        <v>4.9622790994296819</v>
      </c>
    </row>
    <row r="99" spans="1:24" x14ac:dyDescent="0.2">
      <c r="A99" s="17">
        <v>2</v>
      </c>
      <c r="B99" s="18" t="s">
        <v>47</v>
      </c>
      <c r="C99" s="65">
        <v>42766</v>
      </c>
      <c r="D99" s="66">
        <v>0.43402777777777773</v>
      </c>
      <c r="E99" s="65">
        <v>42781</v>
      </c>
      <c r="F99" s="66">
        <v>0.52777777777777779</v>
      </c>
      <c r="G99" s="67">
        <f t="shared" si="31"/>
        <v>362.25</v>
      </c>
      <c r="H99" s="68">
        <v>27.4</v>
      </c>
      <c r="I99" s="78">
        <v>23.763063181005801</v>
      </c>
      <c r="J99" s="78">
        <v>5.9872824962760998</v>
      </c>
      <c r="K99" s="109">
        <v>17.035864549921001</v>
      </c>
      <c r="L99" s="109">
        <v>4.3747077439457396</v>
      </c>
      <c r="M99" s="44">
        <f t="shared" si="32"/>
        <v>44.215031502939368</v>
      </c>
      <c r="N99" s="45">
        <f t="shared" si="25"/>
        <v>11.14030973925308</v>
      </c>
      <c r="O99" s="44">
        <f t="shared" ref="O99:O101" si="42">K99*12.157*46/(273.15+H99)</f>
        <v>31.697987840079602</v>
      </c>
      <c r="P99" s="45">
        <f t="shared" ref="P99:P101" si="43">L99*12.157*46/(273.15+H99)</f>
        <v>8.1398529828142561</v>
      </c>
      <c r="R99" s="13">
        <f>ABS(K99-MEDIAN(K99:K101))</f>
        <v>0.23422317667229819</v>
      </c>
      <c r="S99" s="13">
        <f>ABS(K100-MEDIAN(K99:K101))</f>
        <v>0</v>
      </c>
      <c r="T99" s="13">
        <f>ABS(K101-MEDIAN(K99:K101))</f>
        <v>0.30533269776620031</v>
      </c>
      <c r="V99" s="13">
        <f>ABS(L99-MEDIAN(L99:L101))</f>
        <v>1.19346497759103</v>
      </c>
      <c r="W99" s="13">
        <f>ABS(L100-MEDIAN(L99:L101))</f>
        <v>0.36123271060866013</v>
      </c>
      <c r="X99" s="13">
        <f>ABS(L101-MEDIAN(L99:L101))</f>
        <v>0</v>
      </c>
    </row>
    <row r="100" spans="1:24" x14ac:dyDescent="0.2">
      <c r="A100" s="17">
        <v>2</v>
      </c>
      <c r="B100" s="18" t="s">
        <v>48</v>
      </c>
      <c r="C100" s="65">
        <v>42766</v>
      </c>
      <c r="D100" s="66">
        <v>0.43402777777777773</v>
      </c>
      <c r="E100" s="65">
        <v>42781</v>
      </c>
      <c r="F100" s="66">
        <v>0.52777777777777779</v>
      </c>
      <c r="G100" s="67">
        <f t="shared" si="31"/>
        <v>362.25</v>
      </c>
      <c r="H100" s="68">
        <v>27.4</v>
      </c>
      <c r="I100" s="78">
        <v>23.997286357678199</v>
      </c>
      <c r="J100" s="78">
        <v>7.5419801844757997</v>
      </c>
      <c r="K100" s="109">
        <v>17.270087726593299</v>
      </c>
      <c r="L100" s="109">
        <v>5.9294054321454297</v>
      </c>
      <c r="M100" s="44">
        <f t="shared" si="32"/>
        <v>44.650841695270401</v>
      </c>
      <c r="N100" s="45">
        <f t="shared" si="25"/>
        <v>14.033076834879141</v>
      </c>
      <c r="O100" s="44">
        <f t="shared" si="42"/>
        <v>32.133798032410446</v>
      </c>
      <c r="P100" s="45">
        <f t="shared" si="43"/>
        <v>11.032620078440299</v>
      </c>
    </row>
    <row r="101" spans="1:24" x14ac:dyDescent="0.2">
      <c r="A101" s="17">
        <v>2</v>
      </c>
      <c r="B101" s="18" t="s">
        <v>49</v>
      </c>
      <c r="C101" s="65">
        <v>42766</v>
      </c>
      <c r="D101" s="66">
        <v>0.43402777777777773</v>
      </c>
      <c r="E101" s="65">
        <v>42781</v>
      </c>
      <c r="F101" s="66">
        <v>0.52777777777777779</v>
      </c>
      <c r="G101" s="67">
        <f t="shared" si="31"/>
        <v>362.25</v>
      </c>
      <c r="H101" s="68">
        <v>27.4</v>
      </c>
      <c r="I101" s="78">
        <v>24.3026190554443</v>
      </c>
      <c r="J101" s="78">
        <v>7.1807474738671404</v>
      </c>
      <c r="K101" s="109">
        <v>17.5754204243595</v>
      </c>
      <c r="L101" s="109">
        <v>5.5681727215367696</v>
      </c>
      <c r="M101" s="44">
        <f t="shared" si="32"/>
        <v>45.218962679832551</v>
      </c>
      <c r="N101" s="45">
        <f t="shared" si="25"/>
        <v>13.360944813944204</v>
      </c>
      <c r="O101" s="44">
        <f t="shared" si="42"/>
        <v>32.701919016972788</v>
      </c>
      <c r="P101" s="45">
        <f t="shared" si="43"/>
        <v>10.360488057505359</v>
      </c>
    </row>
    <row r="102" spans="1:24" x14ac:dyDescent="0.2">
      <c r="A102" s="22">
        <v>2</v>
      </c>
      <c r="B102" s="23" t="s">
        <v>50</v>
      </c>
      <c r="C102" s="24">
        <v>42766</v>
      </c>
      <c r="D102" s="25">
        <v>0.43402777777777773</v>
      </c>
      <c r="E102" s="24">
        <v>42781</v>
      </c>
      <c r="F102" s="25">
        <v>0.52777777777777779</v>
      </c>
      <c r="G102" s="50">
        <f t="shared" si="31"/>
        <v>362.25</v>
      </c>
      <c r="H102" s="51">
        <v>27.4</v>
      </c>
      <c r="I102" s="77">
        <v>27.193828197226601</v>
      </c>
      <c r="J102" s="77">
        <v>7.6756961602259599</v>
      </c>
      <c r="K102" s="108">
        <v>20.466629566141702</v>
      </c>
      <c r="L102" s="108">
        <v>6.0631214078955997</v>
      </c>
      <c r="M102" s="42">
        <f t="shared" si="32"/>
        <v>50.598526009347715</v>
      </c>
      <c r="N102" s="43">
        <f t="shared" si="25"/>
        <v>14.281877085722451</v>
      </c>
      <c r="O102" s="42">
        <f>K102*12.157*46/(273.15+H102)</f>
        <v>38.081482346487761</v>
      </c>
      <c r="P102" s="43">
        <f>L102*12.157*46/(273.15+H102)</f>
        <v>11.281420329283625</v>
      </c>
      <c r="R102" s="13">
        <f>ABS(K102-MEDIAN(K102:K104))</f>
        <v>4.2513850531999964E-2</v>
      </c>
      <c r="S102" s="13">
        <f>ABS(K103-MEDIAN(K102:K104))</f>
        <v>0</v>
      </c>
      <c r="T102" s="13">
        <f>ABS(K104-MEDIAN(K102:K104))</f>
        <v>1.0262581946364975</v>
      </c>
      <c r="V102" s="13">
        <f>ABS(L102-MEDIAN(L102:L104))</f>
        <v>7.9830433283679447E-2</v>
      </c>
      <c r="W102" s="13">
        <f>ABS(L103-MEDIAN(L102:L104))</f>
        <v>0</v>
      </c>
      <c r="X102" s="13">
        <f>ABS(L104-MEDIAN(L102:L104))</f>
        <v>0.50093596885510028</v>
      </c>
    </row>
    <row r="103" spans="1:24" x14ac:dyDescent="0.2">
      <c r="A103" s="22">
        <v>42781</v>
      </c>
      <c r="B103" s="23" t="s">
        <v>51</v>
      </c>
      <c r="C103" s="24">
        <v>42766</v>
      </c>
      <c r="D103" s="25">
        <v>0.43402777777777773</v>
      </c>
      <c r="E103" s="24">
        <v>42781</v>
      </c>
      <c r="F103" s="25">
        <v>0.52777777777777779</v>
      </c>
      <c r="G103" s="50">
        <f t="shared" si="31"/>
        <v>362.25</v>
      </c>
      <c r="H103" s="51">
        <v>27.4</v>
      </c>
      <c r="I103" s="77">
        <v>27.236342047758502</v>
      </c>
      <c r="J103" s="77">
        <v>7.5958657269422796</v>
      </c>
      <c r="K103" s="108">
        <v>20.509143416673702</v>
      </c>
      <c r="L103" s="108">
        <v>5.9832909746119203</v>
      </c>
      <c r="M103" s="42">
        <f t="shared" si="32"/>
        <v>50.67762992058428</v>
      </c>
      <c r="N103" s="43">
        <f t="shared" si="25"/>
        <v>14.133339622532409</v>
      </c>
      <c r="O103" s="42">
        <f>K103*12.157*46/(273.15+H103)</f>
        <v>38.160586257724511</v>
      </c>
      <c r="P103" s="43">
        <f>L103*12.157*46/(273.15+H103)</f>
        <v>11.132882866093587</v>
      </c>
    </row>
    <row r="104" spans="1:24" x14ac:dyDescent="0.2">
      <c r="A104" s="22">
        <v>2</v>
      </c>
      <c r="B104" s="23" t="s">
        <v>52</v>
      </c>
      <c r="C104" s="24">
        <v>42766</v>
      </c>
      <c r="D104" s="25">
        <v>0.43402777777777773</v>
      </c>
      <c r="E104" s="24">
        <v>42781</v>
      </c>
      <c r="F104" s="25">
        <v>0.52777777777777779</v>
      </c>
      <c r="G104" s="50">
        <f t="shared" si="31"/>
        <v>362.25</v>
      </c>
      <c r="H104" s="51">
        <v>27.4</v>
      </c>
      <c r="I104" s="77">
        <v>28.262600242395099</v>
      </c>
      <c r="J104" s="77">
        <v>7.0949297580871802</v>
      </c>
      <c r="K104" s="108">
        <v>21.535401611310199</v>
      </c>
      <c r="L104" s="108">
        <v>5.48235500575682</v>
      </c>
      <c r="M104" s="42">
        <f t="shared" si="32"/>
        <v>52.58714966811737</v>
      </c>
      <c r="N104" s="43">
        <f t="shared" si="25"/>
        <v>13.201267041014905</v>
      </c>
      <c r="O104" s="42">
        <f>K104*12.157*46/(273.15+H104)</f>
        <v>40.070106005257408</v>
      </c>
      <c r="P104" s="43">
        <f>L104*12.157*46/(273.15+H104)</f>
        <v>10.200810284576081</v>
      </c>
    </row>
    <row r="105" spans="1:24" x14ac:dyDescent="0.2">
      <c r="A105" s="17">
        <v>2</v>
      </c>
      <c r="B105" s="18" t="s">
        <v>53</v>
      </c>
      <c r="C105" s="65">
        <v>42766</v>
      </c>
      <c r="D105" s="66">
        <v>0.4375</v>
      </c>
      <c r="E105" s="65">
        <v>42781</v>
      </c>
      <c r="F105" s="66">
        <v>0.52083333333333337</v>
      </c>
      <c r="G105" s="67">
        <f t="shared" si="31"/>
        <v>362.00000000005821</v>
      </c>
      <c r="H105" s="68">
        <v>27.4</v>
      </c>
      <c r="I105" s="78">
        <v>27.7231858516726</v>
      </c>
      <c r="J105" s="78">
        <v>7.0179468675365602</v>
      </c>
      <c r="K105" s="109">
        <v>20.991341365180698</v>
      </c>
      <c r="L105" s="109">
        <v>5.4042584586095401</v>
      </c>
      <c r="M105" s="44">
        <f t="shared" si="32"/>
        <v>51.583481744615057</v>
      </c>
      <c r="N105" s="45">
        <f t="shared" si="25"/>
        <v>13.05802789272178</v>
      </c>
      <c r="O105" s="44">
        <f t="shared" ref="O105:O107" si="44">K105*12.157*46/(273.15+H105)</f>
        <v>39.057793714586865</v>
      </c>
      <c r="P105" s="45">
        <f t="shared" ref="P105:P107" si="45">L105*12.157*46/(273.15+H105)</f>
        <v>10.055498997639477</v>
      </c>
      <c r="R105" s="13">
        <f>ABS(K105-MEDIAN(K105:K107))</f>
        <v>0.61451155088739995</v>
      </c>
      <c r="S105" s="13">
        <f>ABS(K106-MEDIAN(K105:K107))</f>
        <v>0</v>
      </c>
      <c r="T105" s="13">
        <f>ABS(K107-MEDIAN(K105:K107))</f>
        <v>0.27864171197950327</v>
      </c>
      <c r="V105" s="13">
        <f>ABS(L105-MEDIAN(L105:L107))</f>
        <v>0</v>
      </c>
      <c r="W105" s="13">
        <f>ABS(L106-MEDIAN(L105:L107))</f>
        <v>0.14379401663705949</v>
      </c>
      <c r="X105" s="13">
        <f>ABS(L107-MEDIAN(L105:L107))</f>
        <v>0.37546215455232979</v>
      </c>
    </row>
    <row r="106" spans="1:24" x14ac:dyDescent="0.2">
      <c r="A106" s="17">
        <v>2</v>
      </c>
      <c r="B106" s="18" t="s">
        <v>54</v>
      </c>
      <c r="C106" s="65">
        <v>42766</v>
      </c>
      <c r="D106" s="66">
        <v>0.4375</v>
      </c>
      <c r="E106" s="65">
        <v>42781</v>
      </c>
      <c r="F106" s="66">
        <v>0.52083333333333337</v>
      </c>
      <c r="G106" s="67">
        <f t="shared" si="31"/>
        <v>362.00000000005821</v>
      </c>
      <c r="H106" s="68">
        <v>27.4</v>
      </c>
      <c r="I106" s="78">
        <v>28.337697402560099</v>
      </c>
      <c r="J106" s="78">
        <v>7.1617408841736196</v>
      </c>
      <c r="K106" s="109">
        <v>21.605852916068098</v>
      </c>
      <c r="L106" s="109">
        <v>5.5480524752465996</v>
      </c>
      <c r="M106" s="44">
        <f t="shared" si="32"/>
        <v>52.726880109314472</v>
      </c>
      <c r="N106" s="45">
        <f t="shared" si="25"/>
        <v>13.325579972481584</v>
      </c>
      <c r="O106" s="44">
        <f t="shared" si="44"/>
        <v>40.201192079286095</v>
      </c>
      <c r="P106" s="45">
        <f t="shared" si="45"/>
        <v>10.323051077399285</v>
      </c>
    </row>
    <row r="107" spans="1:24" x14ac:dyDescent="0.2">
      <c r="A107" s="17">
        <v>2</v>
      </c>
      <c r="B107" s="18" t="s">
        <v>55</v>
      </c>
      <c r="C107" s="65">
        <v>42766</v>
      </c>
      <c r="D107" s="66">
        <v>0.4375</v>
      </c>
      <c r="E107" s="65">
        <v>42781</v>
      </c>
      <c r="F107" s="66">
        <v>0.52083333333333337</v>
      </c>
      <c r="G107" s="67">
        <f t="shared" si="31"/>
        <v>362.00000000005821</v>
      </c>
      <c r="H107" s="68">
        <v>27.4</v>
      </c>
      <c r="I107" s="78">
        <v>28.616339114539599</v>
      </c>
      <c r="J107" s="78">
        <v>6.6424847129842304</v>
      </c>
      <c r="K107" s="109">
        <v>21.884494628047602</v>
      </c>
      <c r="L107" s="109">
        <v>5.0287963040572103</v>
      </c>
      <c r="M107" s="44">
        <f t="shared" si="32"/>
        <v>53.245338187692781</v>
      </c>
      <c r="N107" s="45">
        <f t="shared" si="25"/>
        <v>12.359419684460049</v>
      </c>
      <c r="O107" s="44">
        <f t="shared" si="44"/>
        <v>40.719650157664411</v>
      </c>
      <c r="P107" s="45">
        <f t="shared" si="45"/>
        <v>9.3568907893777471</v>
      </c>
    </row>
    <row r="108" spans="1:24" x14ac:dyDescent="0.2">
      <c r="A108" s="22">
        <v>2</v>
      </c>
      <c r="B108" s="23" t="s">
        <v>56</v>
      </c>
      <c r="C108" s="24">
        <v>42766</v>
      </c>
      <c r="D108" s="25">
        <v>0.3923611111111111</v>
      </c>
      <c r="E108" s="24">
        <v>42781</v>
      </c>
      <c r="F108" s="25">
        <v>0.47222222222222227</v>
      </c>
      <c r="G108" s="50">
        <f t="shared" si="31"/>
        <v>361.91666666662786</v>
      </c>
      <c r="H108" s="51">
        <v>27.4</v>
      </c>
      <c r="I108" s="77">
        <v>16.424148316242601</v>
      </c>
      <c r="J108" s="77">
        <v>5.2377045056157696</v>
      </c>
      <c r="K108" s="108">
        <v>9.6907537849672405</v>
      </c>
      <c r="L108" s="108">
        <v>3.6236445359218199</v>
      </c>
      <c r="M108" s="42">
        <f t="shared" si="32"/>
        <v>30.559790616222994</v>
      </c>
      <c r="N108" s="43">
        <f t="shared" si="25"/>
        <v>9.7455983664596992</v>
      </c>
      <c r="O108" s="42">
        <f>K108*12.157*46/(273.15+H108)</f>
        <v>18.031218476582765</v>
      </c>
      <c r="P108" s="43">
        <f>L108*12.157*46/(273.15+H108)</f>
        <v>6.7423781223332968</v>
      </c>
      <c r="R108" s="13">
        <f>ABS(K108-MEDIAN(K108:K110))</f>
        <v>0</v>
      </c>
      <c r="S108" s="13">
        <f>ABS(K109-MEDIAN(K108:K110))</f>
        <v>8.5503924813538745E-2</v>
      </c>
      <c r="T108" s="13">
        <f>ABS(K110-MEDIAN(K108:K110))</f>
        <v>0.66790933549069997</v>
      </c>
      <c r="V108" s="13">
        <f>ABS(L108-MEDIAN(L108:L110))</f>
        <v>0.23371907977004014</v>
      </c>
      <c r="W108" s="13">
        <f>ABS(L109-MEDIAN(L108:L110))</f>
        <v>0</v>
      </c>
      <c r="X108" s="13">
        <f>ABS(L110-MEDIAN(L108:L110))</f>
        <v>0.51338293590512984</v>
      </c>
    </row>
    <row r="109" spans="1:24" x14ac:dyDescent="0.2">
      <c r="A109" s="22">
        <v>2</v>
      </c>
      <c r="B109" s="23" t="s">
        <v>57</v>
      </c>
      <c r="C109" s="24">
        <v>42766</v>
      </c>
      <c r="D109" s="25">
        <v>0.3923611111111111</v>
      </c>
      <c r="E109" s="24">
        <v>42781</v>
      </c>
      <c r="F109" s="25">
        <v>0.47222222222222227</v>
      </c>
      <c r="G109" s="50">
        <f t="shared" si="31"/>
        <v>361.91666666662786</v>
      </c>
      <c r="H109" s="51">
        <v>27.4</v>
      </c>
      <c r="I109" s="77">
        <v>16.509652241056202</v>
      </c>
      <c r="J109" s="77">
        <v>5.4714235853858204</v>
      </c>
      <c r="K109" s="108">
        <v>9.7762577097807792</v>
      </c>
      <c r="L109" s="108">
        <v>3.85736361569186</v>
      </c>
      <c r="M109" s="42">
        <f t="shared" si="32"/>
        <v>30.718884530187765</v>
      </c>
      <c r="N109" s="43">
        <f t="shared" si="25"/>
        <v>10.180470604780002</v>
      </c>
      <c r="O109" s="42">
        <f>K109*12.157*46/(273.15+H109)</f>
        <v>18.190312390547422</v>
      </c>
      <c r="P109" s="43">
        <f>L109*12.157*46/(273.15+H109)</f>
        <v>7.1772503606535807</v>
      </c>
    </row>
    <row r="110" spans="1:24" ht="12.75" thickBot="1" x14ac:dyDescent="0.25">
      <c r="A110" s="22">
        <v>2</v>
      </c>
      <c r="B110" s="23" t="s">
        <v>58</v>
      </c>
      <c r="C110" s="24">
        <v>42766</v>
      </c>
      <c r="D110" s="25">
        <v>0.3923611111111111</v>
      </c>
      <c r="E110" s="24">
        <v>42781</v>
      </c>
      <c r="F110" s="25">
        <v>0.47222222222222227</v>
      </c>
      <c r="G110" s="50">
        <f t="shared" si="31"/>
        <v>361.91666666662786</v>
      </c>
      <c r="H110" s="51">
        <v>27.4</v>
      </c>
      <c r="I110" s="77">
        <v>15.756238980751901</v>
      </c>
      <c r="J110" s="77">
        <v>5.9848065212909498</v>
      </c>
      <c r="K110" s="108">
        <v>9.0228444494765405</v>
      </c>
      <c r="L110" s="108">
        <v>4.3707465515969899</v>
      </c>
      <c r="M110" s="48">
        <f t="shared" si="32"/>
        <v>29.317037016449977</v>
      </c>
      <c r="N110" s="49">
        <f t="shared" si="25"/>
        <v>11.135702786389512</v>
      </c>
      <c r="O110" s="48">
        <f>K110*12.157*46/(273.15+H110)</f>
        <v>16.788464876809751</v>
      </c>
      <c r="P110" s="49">
        <f>L110*12.157*46/(273.15+H110)</f>
        <v>8.1324825422630926</v>
      </c>
    </row>
    <row r="111" spans="1:24" x14ac:dyDescent="0.2">
      <c r="A111" s="71" t="s">
        <v>59</v>
      </c>
      <c r="B111" s="71"/>
      <c r="C111" s="73">
        <v>42766</v>
      </c>
      <c r="D111" s="74">
        <v>0.37152777777777773</v>
      </c>
      <c r="E111" s="73">
        <v>42781</v>
      </c>
      <c r="F111" s="74">
        <v>0.42083333333333334</v>
      </c>
      <c r="G111" s="75">
        <f t="shared" si="31"/>
        <v>361.18333333317423</v>
      </c>
      <c r="H111" s="76">
        <v>27.4</v>
      </c>
      <c r="I111" s="98">
        <f>'Round 2 raw'!$F$53</f>
        <v>7.2789344085748908</v>
      </c>
      <c r="J111" s="98">
        <f>'Round 2 raw'!$C$53</f>
        <v>1.3945029329917613</v>
      </c>
      <c r="K111" s="76"/>
      <c r="L111" s="76"/>
      <c r="M111" s="99">
        <f t="shared" si="32"/>
        <v>13.543637523979598</v>
      </c>
      <c r="N111" s="100">
        <f t="shared" si="25"/>
        <v>2.5946987828764558</v>
      </c>
      <c r="O111" s="79"/>
      <c r="P111" s="79"/>
      <c r="R111" s="79"/>
      <c r="S111" s="79"/>
      <c r="T111" s="79"/>
      <c r="U111" s="79"/>
      <c r="V111" s="79"/>
      <c r="W111" s="79"/>
      <c r="X111" s="79"/>
    </row>
    <row r="112" spans="1:24" x14ac:dyDescent="0.2">
      <c r="A112" s="71" t="s">
        <v>60</v>
      </c>
      <c r="B112" s="71"/>
      <c r="C112" s="73">
        <v>42766</v>
      </c>
      <c r="D112" s="74">
        <v>0.37152777777777773</v>
      </c>
      <c r="E112" s="73">
        <v>42781</v>
      </c>
      <c r="F112" s="74">
        <v>0.42083333333333334</v>
      </c>
      <c r="G112" s="75">
        <f t="shared" si="31"/>
        <v>361.18333333317423</v>
      </c>
      <c r="H112" s="76">
        <v>27.4</v>
      </c>
      <c r="I112" s="98">
        <f>'Round 2 raw'!$F$54</f>
        <v>4.6173476061809522</v>
      </c>
      <c r="J112" s="98">
        <f>'Round 2 raw'!$C$54</f>
        <v>0.99093618161019159</v>
      </c>
      <c r="K112" s="76"/>
      <c r="L112" s="76"/>
      <c r="M112" s="101">
        <f t="shared" si="32"/>
        <v>8.59132378314332</v>
      </c>
      <c r="N112" s="102">
        <f t="shared" si="25"/>
        <v>1.8437974159122097</v>
      </c>
      <c r="O112" s="79"/>
      <c r="P112" s="79"/>
      <c r="R112" s="79"/>
      <c r="S112" s="79"/>
      <c r="T112" s="79"/>
      <c r="U112" s="79"/>
      <c r="V112" s="79"/>
      <c r="W112" s="79"/>
      <c r="X112" s="79"/>
    </row>
    <row r="113" spans="1:48" ht="12.75" thickBot="1" x14ac:dyDescent="0.25">
      <c r="A113" s="71" t="s">
        <v>61</v>
      </c>
      <c r="B113" s="71"/>
      <c r="C113" s="73">
        <v>42766</v>
      </c>
      <c r="D113" s="74">
        <v>0.37152777777777773</v>
      </c>
      <c r="E113" s="73">
        <v>42781</v>
      </c>
      <c r="F113" s="74">
        <v>0.42083333333333334</v>
      </c>
      <c r="G113" s="75">
        <f t="shared" si="31"/>
        <v>361.18333333317423</v>
      </c>
      <c r="H113" s="76">
        <v>27.4</v>
      </c>
      <c r="I113" s="98">
        <f>'Round 2 raw'!$F$55</f>
        <v>8.2365742119789349</v>
      </c>
      <c r="J113" s="98">
        <f>'Round 2 raw'!$C$55</f>
        <v>2.4573619019768862</v>
      </c>
      <c r="K113" s="76"/>
      <c r="L113" s="76"/>
      <c r="M113" s="103">
        <f t="shared" si="32"/>
        <v>15.325481630248827</v>
      </c>
      <c r="N113" s="104">
        <f t="shared" si="25"/>
        <v>4.5723202047822946</v>
      </c>
      <c r="O113" s="79"/>
      <c r="P113" s="79"/>
      <c r="R113" s="79"/>
      <c r="S113" s="79"/>
      <c r="T113" s="79"/>
      <c r="U113" s="79"/>
      <c r="V113" s="79"/>
      <c r="W113" s="79"/>
      <c r="X113" s="79"/>
    </row>
    <row r="114" spans="1:48" ht="12.75" thickBot="1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2"/>
      <c r="L114" s="62"/>
      <c r="M114" s="62"/>
      <c r="N114" s="62"/>
      <c r="O114" s="60"/>
      <c r="P114" s="60"/>
      <c r="Q114" s="60"/>
      <c r="R114" s="63"/>
      <c r="S114" s="63"/>
      <c r="T114" s="63"/>
      <c r="U114" s="60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</row>
    <row r="115" spans="1:48" x14ac:dyDescent="0.2">
      <c r="A115" s="22">
        <v>3</v>
      </c>
      <c r="B115" s="23" t="s">
        <v>8</v>
      </c>
      <c r="C115" s="24">
        <v>42781</v>
      </c>
      <c r="D115" s="25">
        <v>0.45833333333333331</v>
      </c>
      <c r="E115" s="24">
        <v>42794</v>
      </c>
      <c r="F115" s="25">
        <v>0.43958333333333338</v>
      </c>
      <c r="G115" s="50">
        <f>((E115+F115)-(C115+D115))*24</f>
        <v>311.54999999993015</v>
      </c>
      <c r="H115" s="51">
        <v>25.3</v>
      </c>
      <c r="I115" s="77">
        <v>27.446025755599202</v>
      </c>
      <c r="J115" s="77">
        <v>8.3779087254251099</v>
      </c>
      <c r="K115" s="108">
        <v>23.0590144004716</v>
      </c>
      <c r="L115" s="108">
        <v>7.3724654916543004</v>
      </c>
      <c r="M115" s="132">
        <f>I115*12.157*46/(273.15+H115)</f>
        <v>51.427111459533243</v>
      </c>
      <c r="N115" s="133">
        <f>J115*12.157*46/(273.15+H115)</f>
        <v>15.698143317975141</v>
      </c>
      <c r="O115" s="132">
        <f>K115*12.157*46/(273.15+H115)</f>
        <v>43.206929640008475</v>
      </c>
      <c r="P115" s="133">
        <f>L115*12.157*46/(273.15+H115)</f>
        <v>13.814189637037702</v>
      </c>
      <c r="R115" s="13">
        <f>ABS(K115-MEDIAN(K115:K117))</f>
        <v>1.0566833960248019</v>
      </c>
      <c r="S115" s="13">
        <f>ABS(K116-MEDIAN(K115:K117))</f>
        <v>0.10586580282299707</v>
      </c>
      <c r="T115" s="13">
        <f>ABS(K117-MEDIAN(K115:K117))</f>
        <v>0</v>
      </c>
      <c r="V115" s="13">
        <f>ABS(L115-MEDIAN(L115:L117))</f>
        <v>1.4151554648624201</v>
      </c>
      <c r="W115" s="13">
        <f>ABS(L116-MEDIAN(L115:L117))</f>
        <v>1.81309435598018</v>
      </c>
      <c r="X115" s="13">
        <f>ABS(L117-MEDIAN(L115:L117))</f>
        <v>0</v>
      </c>
      <c r="Z115" s="28">
        <v>1</v>
      </c>
      <c r="AB115" s="13">
        <f>AVERAGE(M115:M117)</f>
        <v>50.041012514796726</v>
      </c>
      <c r="AC115" s="13">
        <f>STDEV(M115:M117)/(SQRT(COUNT(M115:M117)))</f>
        <v>0.69541115700953471</v>
      </c>
      <c r="AE115" s="13">
        <f>AVERAGE(N115:N117)</f>
        <v>18.598343676139574</v>
      </c>
      <c r="AF115" s="13">
        <f>STDEV(N115:N117)/(SQRT(COUNT(N115:N117)))</f>
        <v>1.7505972703128725</v>
      </c>
      <c r="AH115" s="12">
        <f t="shared" ref="AH115:AH116" si="46">AE115/AB115</f>
        <v>0.37166201764283235</v>
      </c>
      <c r="AM115" s="28">
        <v>1</v>
      </c>
      <c r="AO115" s="13">
        <f t="shared" ref="AO115:AO116" si="47">AB115*$AJ$6</f>
        <v>61.317255869129667</v>
      </c>
      <c r="AP115" s="13"/>
      <c r="AR115" s="13">
        <f t="shared" ref="AR115:AR116" si="48">AE115*$AK$6</f>
        <v>31.189575173804414</v>
      </c>
      <c r="AS115" s="13"/>
      <c r="AU115" s="12">
        <f>AR115/AO115</f>
        <v>0.50865901827656457</v>
      </c>
      <c r="AV115" s="125"/>
    </row>
    <row r="116" spans="1:48" x14ac:dyDescent="0.2">
      <c r="A116" s="22">
        <v>3</v>
      </c>
      <c r="B116" s="23" t="s">
        <v>9</v>
      </c>
      <c r="C116" s="24">
        <v>42781</v>
      </c>
      <c r="D116" s="25">
        <v>0.45833333333333331</v>
      </c>
      <c r="E116" s="24">
        <v>42794</v>
      </c>
      <c r="F116" s="25">
        <v>0.43958333333333338</v>
      </c>
      <c r="G116" s="50">
        <f t="shared" ref="G116:G123" si="49">((E116+F116)-(C116+D116))*24</f>
        <v>311.54999999993015</v>
      </c>
      <c r="H116" s="51">
        <v>25.3</v>
      </c>
      <c r="I116" s="77">
        <v>26.283476556751399</v>
      </c>
      <c r="J116" s="77">
        <v>11.6061585462677</v>
      </c>
      <c r="K116" s="108">
        <v>21.896465201623801</v>
      </c>
      <c r="L116" s="108">
        <v>10.6007153124969</v>
      </c>
      <c r="M116" s="42">
        <f t="shared" ref="M116:M123" si="50">I116*12.157*46/(273.15+H116)</f>
        <v>49.2487797856245</v>
      </c>
      <c r="N116" s="43">
        <f t="shared" ref="N116:N123" si="51">J116*12.157*46/(273.15+H116)</f>
        <v>21.747090616722787</v>
      </c>
      <c r="O116" s="42">
        <f t="shared" ref="O116:O120" si="52">K116*12.157*46/(273.15+H116)</f>
        <v>41.028597966099731</v>
      </c>
      <c r="P116" s="43">
        <f t="shared" ref="P116" si="53">L116*12.157*46/(273.15+H116)</f>
        <v>19.863136935785363</v>
      </c>
      <c r="Z116" s="52">
        <v>2</v>
      </c>
      <c r="AB116" s="13">
        <f>AVERAGE(M118:M120)</f>
        <v>25.526830964102249</v>
      </c>
      <c r="AC116" s="13">
        <f>STDEV(M118:M120)/(SQRT(COUNT(M118:M120)))</f>
        <v>0.47033682549734979</v>
      </c>
      <c r="AE116" s="13">
        <f>AVERAGE(N118:N120)</f>
        <v>9.2594018845883124</v>
      </c>
      <c r="AF116" s="13">
        <f>STDEV(N118:N120)/(SQRT(COUNT(N118:N120)))</f>
        <v>0.21584264475636286</v>
      </c>
      <c r="AH116" s="12">
        <f t="shared" si="46"/>
        <v>0.36273213457673537</v>
      </c>
      <c r="AM116" s="52">
        <v>2</v>
      </c>
      <c r="AO116" s="13">
        <f t="shared" si="47"/>
        <v>31.279047866808295</v>
      </c>
      <c r="AP116" s="13"/>
      <c r="AR116" s="13">
        <f t="shared" si="48"/>
        <v>15.528093048110533</v>
      </c>
      <c r="AS116" s="13"/>
      <c r="AU116" s="12">
        <f>AR116/AO116</f>
        <v>0.49643752310594275</v>
      </c>
      <c r="AV116" s="125"/>
    </row>
    <row r="117" spans="1:48" x14ac:dyDescent="0.2">
      <c r="A117" s="22">
        <v>3</v>
      </c>
      <c r="B117" s="23" t="s">
        <v>10</v>
      </c>
      <c r="C117" s="24">
        <v>42781</v>
      </c>
      <c r="D117" s="25">
        <v>0.45833333333333331</v>
      </c>
      <c r="E117" s="24">
        <v>42794</v>
      </c>
      <c r="F117" s="25">
        <v>0.43958333333333338</v>
      </c>
      <c r="G117" s="50">
        <f t="shared" si="49"/>
        <v>311.54999999993015</v>
      </c>
      <c r="H117" s="51">
        <v>25.3</v>
      </c>
      <c r="I117" s="77">
        <v>26.3893423595744</v>
      </c>
      <c r="J117" s="77">
        <v>9.7930641902875308</v>
      </c>
      <c r="K117" s="108">
        <v>22.002331004446798</v>
      </c>
      <c r="L117" s="108">
        <v>8.7876209565167205</v>
      </c>
      <c r="M117" s="42">
        <f t="shared" si="50"/>
        <v>49.447146299232415</v>
      </c>
      <c r="N117" s="43">
        <f t="shared" si="51"/>
        <v>18.349797093720802</v>
      </c>
      <c r="O117" s="42">
        <f t="shared" si="52"/>
        <v>41.226964479707647</v>
      </c>
      <c r="P117" s="43">
        <f>L117*12.157*46/(273.15+H117)</f>
        <v>16.465843412783361</v>
      </c>
      <c r="Z117" s="105" t="s">
        <v>112</v>
      </c>
      <c r="AA117" s="106"/>
      <c r="AB117" s="107">
        <f>AVERAGE(M121:M123)</f>
        <v>8.1583871385385933</v>
      </c>
      <c r="AC117" s="107">
        <f>STDEV(M121:M123)/(SQRT(COUNT(M121:M123)))</f>
        <v>1.6437049078653654</v>
      </c>
      <c r="AD117" s="105"/>
      <c r="AE117" s="107">
        <f>AVERAGE(N121:N123)</f>
        <v>1.8833493654018618</v>
      </c>
      <c r="AF117" s="107">
        <f>STDEV(N121:N123)/(SQRT(COUNT(N121:N123)))</f>
        <v>0.28010259093163326</v>
      </c>
      <c r="AH117" s="12"/>
      <c r="AO117" s="13"/>
      <c r="AP117" s="13"/>
      <c r="AR117" s="13"/>
      <c r="AS117" s="13"/>
      <c r="AU117" s="12"/>
      <c r="AV117" s="125"/>
    </row>
    <row r="118" spans="1:48" x14ac:dyDescent="0.2">
      <c r="A118" s="17">
        <v>3</v>
      </c>
      <c r="B118" s="18" t="s">
        <v>11</v>
      </c>
      <c r="C118" s="65">
        <v>42781</v>
      </c>
      <c r="D118" s="66">
        <v>0.5</v>
      </c>
      <c r="E118" s="65">
        <v>42794</v>
      </c>
      <c r="F118" s="66">
        <v>0.48958333333333331</v>
      </c>
      <c r="G118" s="67">
        <f t="shared" si="49"/>
        <v>311.75000000005821</v>
      </c>
      <c r="H118" s="68">
        <v>25.3</v>
      </c>
      <c r="I118" s="78">
        <v>13.452086883302901</v>
      </c>
      <c r="J118" s="78">
        <v>5.0286973248865197</v>
      </c>
      <c r="K118" s="109">
        <v>9.0678899701049396</v>
      </c>
      <c r="L118" s="109">
        <v>4.0238991228619296</v>
      </c>
      <c r="M118" s="44">
        <f t="shared" si="50"/>
        <v>25.205906956121343</v>
      </c>
      <c r="N118" s="45">
        <f t="shared" si="51"/>
        <v>9.4225437273167678</v>
      </c>
      <c r="O118" s="44">
        <f t="shared" si="52"/>
        <v>16.990998709539372</v>
      </c>
      <c r="P118" s="45">
        <f t="shared" ref="P118:P120" si="54">L118*12.157*46/(273.15+H118)</f>
        <v>7.5397986774504737</v>
      </c>
      <c r="R118" s="13">
        <f>ABS(K118-MEDIAN(K118:K120))</f>
        <v>0</v>
      </c>
      <c r="S118" s="13">
        <f>ABS(K119-MEDIAN(K118:K120))</f>
        <v>0.66559285229872955</v>
      </c>
      <c r="T118" s="13">
        <f>ABS(K120-MEDIAN(K118:K120))</f>
        <v>0.15177309816579942</v>
      </c>
      <c r="V118" s="13">
        <f>ABS(L118-MEDIAN(L118:L120))</f>
        <v>0</v>
      </c>
      <c r="W118" s="13">
        <f>ABS(L119-MEDIAN(L118:L120))</f>
        <v>0.31532308915993967</v>
      </c>
      <c r="X118" s="13">
        <f>ABS(L120-MEDIAN(L118:L120))</f>
        <v>5.4122619781190373E-2</v>
      </c>
      <c r="AO118" s="13"/>
      <c r="AP118" s="13"/>
      <c r="AR118" s="13"/>
      <c r="AS118" s="13"/>
      <c r="AU118" s="12"/>
      <c r="AV118" s="125"/>
    </row>
    <row r="119" spans="1:48" x14ac:dyDescent="0.2">
      <c r="A119" s="17">
        <v>3</v>
      </c>
      <c r="B119" s="18" t="s">
        <v>12</v>
      </c>
      <c r="C119" s="65">
        <v>42781</v>
      </c>
      <c r="D119" s="66">
        <v>0.5</v>
      </c>
      <c r="E119" s="65">
        <v>42794</v>
      </c>
      <c r="F119" s="66">
        <v>0.48958333333333331</v>
      </c>
      <c r="G119" s="67">
        <f t="shared" si="49"/>
        <v>311.75000000005821</v>
      </c>
      <c r="H119" s="68">
        <v>25.3</v>
      </c>
      <c r="I119" s="78">
        <v>14.1176797356016</v>
      </c>
      <c r="J119" s="78">
        <v>4.7133742357265804</v>
      </c>
      <c r="K119" s="109">
        <v>9.7334828224036691</v>
      </c>
      <c r="L119" s="109">
        <v>3.70857603370199</v>
      </c>
      <c r="M119" s="44">
        <f t="shared" si="50"/>
        <v>26.453064490208067</v>
      </c>
      <c r="N119" s="45">
        <f t="shared" si="51"/>
        <v>8.8317057023001855</v>
      </c>
      <c r="O119" s="44">
        <f t="shared" si="52"/>
        <v>18.238156243626154</v>
      </c>
      <c r="P119" s="45">
        <f t="shared" si="54"/>
        <v>6.9489606524338905</v>
      </c>
      <c r="AO119" s="13"/>
      <c r="AP119" s="35"/>
      <c r="AR119" s="13"/>
      <c r="AS119" s="35"/>
      <c r="AU119" s="12"/>
      <c r="AV119" s="128"/>
    </row>
    <row r="120" spans="1:48" ht="12.75" thickBot="1" x14ac:dyDescent="0.25">
      <c r="A120" s="17">
        <v>3</v>
      </c>
      <c r="B120" s="18" t="s">
        <v>13</v>
      </c>
      <c r="C120" s="65">
        <v>42781</v>
      </c>
      <c r="D120" s="66">
        <v>0.5</v>
      </c>
      <c r="E120" s="65">
        <v>42794</v>
      </c>
      <c r="F120" s="66">
        <v>0.48958333333333331</v>
      </c>
      <c r="G120" s="67">
        <f t="shared" si="49"/>
        <v>311.75000000005821</v>
      </c>
      <c r="H120" s="68">
        <v>25.3</v>
      </c>
      <c r="I120" s="78">
        <v>13.300313785137099</v>
      </c>
      <c r="J120" s="78">
        <v>5.08281994466771</v>
      </c>
      <c r="K120" s="109">
        <v>8.9161168719391402</v>
      </c>
      <c r="L120" s="109">
        <v>4.07802174264312</v>
      </c>
      <c r="M120" s="134">
        <f t="shared" si="50"/>
        <v>24.921521445977348</v>
      </c>
      <c r="N120" s="135">
        <f t="shared" si="51"/>
        <v>9.5239562241479838</v>
      </c>
      <c r="O120" s="134">
        <f t="shared" si="52"/>
        <v>16.706613199395377</v>
      </c>
      <c r="P120" s="135">
        <f t="shared" si="54"/>
        <v>7.6412111742816924</v>
      </c>
      <c r="Z120" s="126"/>
      <c r="AA120" s="126"/>
      <c r="AB120" s="126"/>
      <c r="AC120" s="127"/>
      <c r="AE120" s="126"/>
      <c r="AF120" s="127"/>
      <c r="AO120" s="13"/>
      <c r="AP120" s="13"/>
      <c r="AR120" s="13"/>
      <c r="AS120" s="13"/>
      <c r="AU120" s="12"/>
      <c r="AV120" s="125"/>
    </row>
    <row r="121" spans="1:48" x14ac:dyDescent="0.2">
      <c r="A121" s="71" t="s">
        <v>59</v>
      </c>
      <c r="B121" s="71"/>
      <c r="C121" s="73">
        <v>42781</v>
      </c>
      <c r="D121" s="74">
        <v>0.45833333333333331</v>
      </c>
      <c r="E121" s="73">
        <v>42794</v>
      </c>
      <c r="F121" s="74">
        <v>0.4375</v>
      </c>
      <c r="G121" s="75">
        <f t="shared" si="49"/>
        <v>311.49999999994179</v>
      </c>
      <c r="H121" s="76">
        <v>25.3</v>
      </c>
      <c r="I121" s="98">
        <v>3.985145390867054</v>
      </c>
      <c r="J121" s="98">
        <v>0.9039024723014415</v>
      </c>
      <c r="K121" s="76"/>
      <c r="L121" s="76"/>
      <c r="M121" s="99">
        <f>I121*12.157*46/(273.15+H121)</f>
        <v>7.4671837016969533</v>
      </c>
      <c r="N121" s="100">
        <f t="shared" si="51"/>
        <v>1.6936912325862179</v>
      </c>
      <c r="O121" s="79"/>
      <c r="P121" s="79"/>
      <c r="R121" s="79"/>
      <c r="S121" s="79"/>
      <c r="T121" s="79"/>
      <c r="U121" s="79"/>
      <c r="V121" s="79"/>
      <c r="W121" s="79"/>
      <c r="X121" s="79"/>
      <c r="Z121" s="126"/>
      <c r="AA121" s="126"/>
      <c r="AB121" s="126"/>
      <c r="AC121" s="127"/>
      <c r="AD121" s="127"/>
      <c r="AE121" s="126"/>
      <c r="AF121" s="127"/>
      <c r="AO121" s="13"/>
      <c r="AP121" s="13"/>
      <c r="AR121" s="13"/>
      <c r="AS121" s="13"/>
      <c r="AU121" s="12"/>
      <c r="AV121" s="125"/>
    </row>
    <row r="122" spans="1:48" x14ac:dyDescent="0.2">
      <c r="A122" s="71" t="s">
        <v>60</v>
      </c>
      <c r="B122" s="71"/>
      <c r="C122" s="73">
        <v>42781</v>
      </c>
      <c r="D122" s="74">
        <v>0.45833333333333331</v>
      </c>
      <c r="E122" s="73">
        <v>42794</v>
      </c>
      <c r="F122" s="74">
        <v>0.4375</v>
      </c>
      <c r="G122" s="75">
        <f t="shared" si="49"/>
        <v>311.49999999994179</v>
      </c>
      <c r="H122" s="76">
        <v>25.3</v>
      </c>
      <c r="I122" s="98">
        <v>6.0239099862679266</v>
      </c>
      <c r="J122" s="98">
        <v>1.2993598039333221</v>
      </c>
      <c r="K122" s="76"/>
      <c r="L122" s="76"/>
      <c r="M122" s="101">
        <f t="shared" si="50"/>
        <v>11.287327828248356</v>
      </c>
      <c r="N122" s="102">
        <f t="shared" si="51"/>
        <v>2.4346811468426881</v>
      </c>
      <c r="O122" s="79"/>
      <c r="P122" s="79"/>
      <c r="R122" s="79"/>
      <c r="S122" s="79"/>
      <c r="T122" s="79"/>
      <c r="U122" s="79"/>
      <c r="V122" s="79"/>
      <c r="W122" s="79"/>
      <c r="X122" s="79"/>
      <c r="AO122" s="13"/>
      <c r="AP122" s="13"/>
      <c r="AR122" s="13"/>
      <c r="AS122" s="13"/>
      <c r="AU122" s="12"/>
      <c r="AV122" s="125"/>
    </row>
    <row r="123" spans="1:48" ht="12.75" thickBot="1" x14ac:dyDescent="0.25">
      <c r="A123" s="71" t="s">
        <v>61</v>
      </c>
      <c r="B123" s="71"/>
      <c r="C123" s="73">
        <v>42781</v>
      </c>
      <c r="D123" s="74">
        <v>0.45833333333333331</v>
      </c>
      <c r="E123" s="73">
        <v>42794</v>
      </c>
      <c r="F123" s="74">
        <v>0.4375</v>
      </c>
      <c r="G123" s="75">
        <f t="shared" si="49"/>
        <v>311.49999999994179</v>
      </c>
      <c r="H123" s="76">
        <v>25.3</v>
      </c>
      <c r="I123" s="98">
        <v>3.0530414725786028</v>
      </c>
      <c r="J123" s="98">
        <v>0.81209987745832635</v>
      </c>
      <c r="K123" s="76"/>
      <c r="L123" s="76"/>
      <c r="M123" s="103">
        <f t="shared" si="50"/>
        <v>5.7206498856704693</v>
      </c>
      <c r="N123" s="104">
        <f t="shared" si="51"/>
        <v>1.5216757167766801</v>
      </c>
      <c r="O123" s="79"/>
      <c r="P123" s="79"/>
      <c r="R123" s="79"/>
      <c r="S123" s="79"/>
      <c r="T123" s="79"/>
      <c r="U123" s="79"/>
      <c r="V123" s="79"/>
      <c r="W123" s="79"/>
      <c r="X123" s="79"/>
      <c r="AO123" s="13"/>
      <c r="AP123" s="13"/>
      <c r="AR123" s="13"/>
      <c r="AS123" s="13"/>
      <c r="AU123" s="12"/>
      <c r="AV123" s="125"/>
    </row>
    <row r="124" spans="1:48" x14ac:dyDescent="0.2">
      <c r="AO124" s="13"/>
      <c r="AP124" s="35"/>
      <c r="AR124" s="13"/>
      <c r="AS124" s="35"/>
      <c r="AU124" s="12"/>
      <c r="AV124" s="128"/>
    </row>
    <row r="125" spans="1:48" x14ac:dyDescent="0.2">
      <c r="AO125" s="13"/>
      <c r="AP125" s="13"/>
      <c r="AR125" s="13"/>
      <c r="AS125" s="13"/>
      <c r="AU125" s="12"/>
      <c r="AV125" s="125"/>
    </row>
    <row r="126" spans="1:48" x14ac:dyDescent="0.2">
      <c r="AO126" s="13"/>
      <c r="AP126" s="13"/>
      <c r="AR126" s="13"/>
      <c r="AS126" s="13"/>
      <c r="AU126" s="12"/>
      <c r="AV126" s="125"/>
    </row>
    <row r="127" spans="1:48" x14ac:dyDescent="0.2">
      <c r="AO127" s="13"/>
      <c r="AP127" s="13"/>
      <c r="AR127" s="13"/>
      <c r="AS127" s="13"/>
      <c r="AU127" s="12"/>
      <c r="AV127" s="125"/>
    </row>
    <row r="128" spans="1:48" x14ac:dyDescent="0.2">
      <c r="AO128" s="13"/>
      <c r="AP128" s="13"/>
      <c r="AR128" s="13"/>
      <c r="AS128" s="13"/>
      <c r="AU128" s="12"/>
      <c r="AV128" s="125"/>
    </row>
    <row r="129" spans="41:48" x14ac:dyDescent="0.2">
      <c r="AO129" s="13"/>
      <c r="AP129" s="13"/>
      <c r="AR129" s="13"/>
      <c r="AS129" s="13"/>
      <c r="AU129" s="12"/>
      <c r="AV129" s="125"/>
    </row>
    <row r="130" spans="41:48" x14ac:dyDescent="0.2">
      <c r="AO130" s="13"/>
      <c r="AP130" s="13"/>
      <c r="AR130" s="13"/>
      <c r="AS130" s="13"/>
      <c r="AU130" s="12"/>
      <c r="AV130" s="125"/>
    </row>
    <row r="131" spans="41:48" x14ac:dyDescent="0.2">
      <c r="AO131" s="13"/>
      <c r="AP131" s="13"/>
      <c r="AR131" s="13"/>
      <c r="AS131" s="13"/>
      <c r="AU131" s="12"/>
      <c r="AV131" s="125"/>
    </row>
  </sheetData>
  <mergeCells count="14">
    <mergeCell ref="AG1:AH2"/>
    <mergeCell ref="Z3:Z4"/>
    <mergeCell ref="AB3:AC3"/>
    <mergeCell ref="AE3:AF3"/>
    <mergeCell ref="M2:P2"/>
    <mergeCell ref="M3:N3"/>
    <mergeCell ref="O3:P3"/>
    <mergeCell ref="R3:T3"/>
    <mergeCell ref="V3:X3"/>
    <mergeCell ref="AT1:AU2"/>
    <mergeCell ref="AM3:AM4"/>
    <mergeCell ref="AO3:AP3"/>
    <mergeCell ref="AR3:AS3"/>
    <mergeCell ref="AJ2:AK2"/>
  </mergeCells>
  <conditionalFormatting sqref="R5:T55">
    <cfRule type="cellIs" dxfId="5" priority="8" operator="greaterThan">
      <formula>5</formula>
    </cfRule>
  </conditionalFormatting>
  <conditionalFormatting sqref="V5:X55">
    <cfRule type="cellIs" dxfId="4" priority="7" operator="greaterThan">
      <formula>2</formula>
    </cfRule>
  </conditionalFormatting>
  <conditionalFormatting sqref="R60:T110">
    <cfRule type="cellIs" dxfId="3" priority="4" operator="greaterThan">
      <formula>5</formula>
    </cfRule>
  </conditionalFormatting>
  <conditionalFormatting sqref="V60:X110">
    <cfRule type="cellIs" dxfId="2" priority="3" operator="greaterThan">
      <formula>2</formula>
    </cfRule>
  </conditionalFormatting>
  <conditionalFormatting sqref="V115:X120">
    <cfRule type="cellIs" dxfId="1" priority="1" operator="greaterThan">
      <formula>2</formula>
    </cfRule>
  </conditionalFormatting>
  <conditionalFormatting sqref="R115:T120">
    <cfRule type="cellIs" dxfId="0" priority="2" operator="greaterThan">
      <formula>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Y53:DI54"/>
  <sheetViews>
    <sheetView zoomScale="80" zoomScaleNormal="80" workbookViewId="0">
      <selection activeCell="CE33" sqref="CE33"/>
    </sheetView>
  </sheetViews>
  <sheetFormatPr defaultColWidth="2.85546875" defaultRowHeight="12.75" x14ac:dyDescent="0.2"/>
  <cols>
    <col min="129" max="129" width="6" customWidth="1"/>
  </cols>
  <sheetData>
    <row r="53" spans="77:113" x14ac:dyDescent="0.2">
      <c r="BZ53" s="148"/>
      <c r="CA53" s="148"/>
      <c r="CB53" s="148"/>
      <c r="CC53" s="148"/>
    </row>
    <row r="54" spans="77:113" x14ac:dyDescent="0.2"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  <c r="CN54" s="129"/>
      <c r="CO54" s="129"/>
      <c r="CP54" s="129"/>
      <c r="CQ54" s="129"/>
      <c r="CR54" s="129"/>
      <c r="CS54" s="129"/>
      <c r="CT54" s="129"/>
      <c r="CU54" s="129"/>
      <c r="CV54" s="129"/>
      <c r="CW54" s="129"/>
      <c r="CX54" s="129"/>
      <c r="CY54" s="129"/>
      <c r="CZ54" s="129"/>
      <c r="DA54" s="129"/>
      <c r="DB54" s="129"/>
      <c r="DC54" s="129"/>
      <c r="DD54" s="129"/>
      <c r="DE54" s="129"/>
      <c r="DF54" s="129"/>
      <c r="DG54" s="129"/>
      <c r="DH54" s="129"/>
      <c r="DI54" s="12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8"/>
  <sheetViews>
    <sheetView workbookViewId="0">
      <selection activeCell="L7" sqref="L7"/>
    </sheetView>
  </sheetViews>
  <sheetFormatPr defaultRowHeight="12.75" x14ac:dyDescent="0.2"/>
  <sheetData>
    <row r="1" spans="3:12" x14ac:dyDescent="0.2">
      <c r="D1" t="s">
        <v>133</v>
      </c>
      <c r="E1" t="s">
        <v>134</v>
      </c>
      <c r="F1" t="s">
        <v>134</v>
      </c>
      <c r="H1" t="s">
        <v>137</v>
      </c>
      <c r="I1" t="s">
        <v>137</v>
      </c>
    </row>
    <row r="2" spans="3:12" ht="13.5" thickBot="1" x14ac:dyDescent="0.25">
      <c r="E2" s="149" t="s">
        <v>135</v>
      </c>
      <c r="F2" s="149" t="s">
        <v>136</v>
      </c>
      <c r="H2" s="149" t="s">
        <v>135</v>
      </c>
      <c r="I2" s="149" t="s">
        <v>136</v>
      </c>
    </row>
    <row r="3" spans="3:12" ht="13.5" thickBot="1" x14ac:dyDescent="0.25">
      <c r="C3" t="s">
        <v>129</v>
      </c>
      <c r="D3">
        <v>150</v>
      </c>
      <c r="E3" s="150">
        <f>D3*'Round 1 raw'!$L$54</f>
        <v>0.47779852974845632</v>
      </c>
      <c r="F3" s="150">
        <f>D3*'Round 2 raw'!$L$54</f>
        <v>0.3745978509111107</v>
      </c>
      <c r="H3" s="99">
        <f>E3*12.157*46/(273.15+27)</f>
        <v>0.89020639481256458</v>
      </c>
      <c r="I3" s="99">
        <f>F3*12.157*46/(273.15+27)</f>
        <v>0.69792890015729858</v>
      </c>
      <c r="K3" s="9">
        <f>I3</f>
        <v>0.69792890015729858</v>
      </c>
      <c r="L3" s="9">
        <f>H4</f>
        <v>2.0771482545626507</v>
      </c>
    </row>
    <row r="4" spans="3:12" x14ac:dyDescent="0.2">
      <c r="C4" t="s">
        <v>130</v>
      </c>
      <c r="D4">
        <v>350</v>
      </c>
      <c r="E4" s="150">
        <f>D4*'Round 1 raw'!$L$54</f>
        <v>1.1148632360797315</v>
      </c>
      <c r="F4" s="150">
        <f>D4*'Round 2 raw'!$L$54</f>
        <v>0.87406165212592501</v>
      </c>
      <c r="H4" s="99">
        <f>E4*12.157*46/(273.15+27)</f>
        <v>2.0771482545626507</v>
      </c>
      <c r="I4" s="99">
        <f>F4*12.157*46/(273.15+27)</f>
        <v>1.6285007670336966</v>
      </c>
    </row>
    <row r="5" spans="3:12" x14ac:dyDescent="0.2">
      <c r="E5" s="150"/>
      <c r="F5" s="150"/>
    </row>
    <row r="6" spans="3:12" ht="13.5" thickBot="1" x14ac:dyDescent="0.25">
      <c r="E6" s="150"/>
      <c r="F6" s="150"/>
    </row>
    <row r="7" spans="3:12" ht="13.5" thickBot="1" x14ac:dyDescent="0.25">
      <c r="C7" t="s">
        <v>131</v>
      </c>
      <c r="D7">
        <v>80</v>
      </c>
      <c r="E7" s="150">
        <f>D7*'Round 1 raw'!$M$54</f>
        <v>0.25885276524709061</v>
      </c>
      <c r="F7" s="150">
        <f>D7*'Round 2 raw'!$M$54</f>
        <v>0.20759588194321338</v>
      </c>
      <c r="H7" s="99">
        <f t="shared" ref="H7:H8" si="0">E7*12.157*46/(273.15+27)</f>
        <v>0.48227939725806601</v>
      </c>
      <c r="I7" s="99">
        <f t="shared" ref="I7:I8" si="1">F7*12.157*46/(273.15+27)</f>
        <v>0.38678055736147815</v>
      </c>
      <c r="K7" s="9">
        <f>I7</f>
        <v>0.38678055736147815</v>
      </c>
      <c r="L7" s="9">
        <f>H8</f>
        <v>1.0851286438306484</v>
      </c>
    </row>
    <row r="8" spans="3:12" x14ac:dyDescent="0.2">
      <c r="C8" t="s">
        <v>132</v>
      </c>
      <c r="D8">
        <v>180</v>
      </c>
      <c r="E8" s="150">
        <f>D8*'Round 1 raw'!$M$54</f>
        <v>0.58241872180595389</v>
      </c>
      <c r="F8" s="150">
        <f>D8*'Round 2 raw'!$M$54</f>
        <v>0.46709073437223014</v>
      </c>
      <c r="H8" s="99">
        <f t="shared" si="0"/>
        <v>1.0851286438306484</v>
      </c>
      <c r="I8" s="99">
        <f t="shared" si="1"/>
        <v>0.87025625406332596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Notes</vt:lpstr>
      <vt:lpstr>Site data</vt:lpstr>
      <vt:lpstr>Round 1 raw</vt:lpstr>
      <vt:lpstr>Round 2 raw</vt:lpstr>
      <vt:lpstr>Round 3 raw</vt:lpstr>
      <vt:lpstr>Calibration</vt:lpstr>
      <vt:lpstr>Final measured</vt:lpstr>
      <vt:lpstr>Plots (old)</vt:lpstr>
      <vt:lpstr>Typical values</vt:lpstr>
      <vt:lpstr>Results_Export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Boulter</dc:creator>
  <cp:lastModifiedBy>Paul Boulter</cp:lastModifiedBy>
  <cp:lastPrinted>2017-08-30T03:35:18Z</cp:lastPrinted>
  <dcterms:created xsi:type="dcterms:W3CDTF">2017-02-07T20:45:39Z</dcterms:created>
  <dcterms:modified xsi:type="dcterms:W3CDTF">2017-11-29T03:56:20Z</dcterms:modified>
</cp:coreProperties>
</file>